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503"/>
  <workbookPr defaultThemeVersion="124226"/>
  <mc:AlternateContent xmlns:mc="http://schemas.openxmlformats.org/markup-compatibility/2006">
    <mc:Choice Requires="x15">
      <x15ac:absPath xmlns:x15ac="http://schemas.microsoft.com/office/spreadsheetml/2010/11/ac" url="/Users/leland/Downloads/"/>
    </mc:Choice>
  </mc:AlternateContent>
  <xr:revisionPtr revIDLastSave="40" documentId="8_{34D43E03-F4C6-8D4D-9FAE-F004D70BB425}" xr6:coauthVersionLast="47" xr6:coauthVersionMax="47" xr10:uidLastSave="{4810E828-10F4-4A23-BC48-3551B5840D3B}"/>
  <bookViews>
    <workbookView xWindow="0" yWindow="0" windowWidth="38400" windowHeight="21600" xr2:uid="{00000000-000D-0000-FFFF-FFFF00000000}"/>
  </bookViews>
  <sheets>
    <sheet name="Set-up" sheetId="3" r:id="rId1"/>
    <sheet name="Pace Tracker" sheetId="1" r:id="rId2"/>
  </sheets>
  <definedNames>
    <definedName name="E_Fact">1</definedName>
    <definedName name="Est_Finish_Time">'Pace Tracker'!$I$13</definedName>
    <definedName name="Km_Mi_Fact">0.62137</definedName>
    <definedName name="M_Fact">1.03</definedName>
    <definedName name="MC_Fact">1.06</definedName>
    <definedName name="MD_Fact">1.26</definedName>
    <definedName name="_xlnm.Print_Area" localSheetId="1">'Pace Tracker'!$A$11:$N$63</definedName>
    <definedName name="_xlnm.Print_Area" localSheetId="0">'Set-up'!$A$1:$Q$29</definedName>
    <definedName name="Proj_Finish_Time">'Pace Tracker'!$L$13</definedName>
    <definedName name="Runner1">'Set-up'!$O$7</definedName>
    <definedName name="Runner10">'Set-up'!$O$17</definedName>
    <definedName name="Runner11">'Set-up'!$O$18</definedName>
    <definedName name="Runner12">'Set-up'!$O$19</definedName>
    <definedName name="Runner2">'Set-up'!$O$8</definedName>
    <definedName name="Runner3">'Set-up'!$O$9</definedName>
    <definedName name="Runner4">'Set-up'!$O$10</definedName>
    <definedName name="Runner5">'Set-up'!$O$11</definedName>
    <definedName name="Runner6">'Set-up'!$O$12</definedName>
    <definedName name="Runner7">'Set-up'!$O$14</definedName>
    <definedName name="Runner8">'Set-up'!$O$15</definedName>
    <definedName name="Runner9">'Set-up'!$O$16</definedName>
    <definedName name="Start_Time">'Pace Tracker'!$I$12</definedName>
    <definedName name="Team_Name">'Set-up'!$N$5</definedName>
    <definedName name="Total_Time">'Pace Tracker'!$Q$8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47" i="1" l="1"/>
  <c r="A62" i="1" l="1"/>
  <c r="A61" i="1"/>
  <c r="A60" i="1"/>
  <c r="A59" i="1"/>
  <c r="A58" i="1"/>
  <c r="A57" i="1"/>
  <c r="A55" i="1"/>
  <c r="A54" i="1"/>
  <c r="A53" i="1"/>
  <c r="A52" i="1"/>
  <c r="A51" i="1"/>
  <c r="A50" i="1"/>
  <c r="A45" i="1"/>
  <c r="A44" i="1"/>
  <c r="A43" i="1"/>
  <c r="A42" i="1"/>
  <c r="A41" i="1"/>
  <c r="A40" i="1"/>
  <c r="A38" i="1"/>
  <c r="A37" i="1"/>
  <c r="A36" i="1"/>
  <c r="A35" i="1"/>
  <c r="A34" i="1"/>
  <c r="A33" i="1"/>
  <c r="A28" i="1"/>
  <c r="A27" i="1"/>
  <c r="A26" i="1"/>
  <c r="A25" i="1"/>
  <c r="A24" i="1"/>
  <c r="A23" i="1"/>
  <c r="A21" i="1"/>
  <c r="A20" i="1"/>
  <c r="A19" i="1"/>
  <c r="A18" i="1"/>
  <c r="A17" i="1"/>
  <c r="A16" i="1"/>
  <c r="A12" i="1"/>
  <c r="J16" i="1" l="1"/>
  <c r="F28" i="1"/>
  <c r="G28" i="1" s="1"/>
  <c r="F27" i="1"/>
  <c r="G27" i="1" s="1"/>
  <c r="F26" i="1"/>
  <c r="G26" i="1" s="1"/>
  <c r="F25" i="1"/>
  <c r="G25" i="1" s="1"/>
  <c r="F24" i="1"/>
  <c r="G24" i="1" s="1"/>
  <c r="F23" i="1"/>
  <c r="G23" i="1" s="1"/>
  <c r="F21" i="1"/>
  <c r="G21" i="1" s="1"/>
  <c r="F20" i="1"/>
  <c r="G20" i="1" s="1"/>
  <c r="F19" i="1"/>
  <c r="G19" i="1" s="1"/>
  <c r="F18" i="1"/>
  <c r="G18" i="1" s="1"/>
  <c r="F17" i="1"/>
  <c r="G17" i="1" s="1"/>
  <c r="F16" i="1"/>
  <c r="G16" i="1" s="1"/>
  <c r="H16" i="1" s="1"/>
  <c r="I16" i="1" s="1"/>
  <c r="H17" i="1" l="1"/>
  <c r="I17" i="1" s="1"/>
  <c r="H18" i="1" l="1"/>
  <c r="I18" i="1" l="1"/>
  <c r="H19" i="1"/>
  <c r="I19" i="1" l="1"/>
  <c r="H20" i="1"/>
  <c r="I20" i="1" l="1"/>
  <c r="H21" i="1"/>
  <c r="I21" i="1" l="1"/>
  <c r="H23" i="1"/>
  <c r="I23" i="1" l="1"/>
  <c r="H24" i="1"/>
  <c r="I24" i="1" l="1"/>
  <c r="H25" i="1"/>
  <c r="I25" i="1" l="1"/>
  <c r="H26" i="1"/>
  <c r="I26" i="1" l="1"/>
  <c r="H27" i="1"/>
  <c r="I27" i="1" l="1"/>
  <c r="H28" i="1"/>
  <c r="I28" i="1" s="1"/>
  <c r="V62" i="1"/>
  <c r="V61" i="1"/>
  <c r="V60" i="1"/>
  <c r="V59" i="1"/>
  <c r="V58" i="1"/>
  <c r="V57" i="1"/>
  <c r="V56" i="1"/>
  <c r="V54" i="1"/>
  <c r="V53" i="1"/>
  <c r="V52" i="1"/>
  <c r="V51" i="1"/>
  <c r="V50" i="1"/>
  <c r="V43" i="1"/>
  <c r="V42" i="1"/>
  <c r="V41" i="1"/>
  <c r="V40" i="1"/>
  <c r="V39" i="1"/>
  <c r="V37" i="1"/>
  <c r="V36" i="1"/>
  <c r="V34" i="1"/>
  <c r="V27" i="1"/>
  <c r="V26" i="1"/>
  <c r="V25" i="1"/>
  <c r="V24" i="1"/>
  <c r="V23" i="1"/>
  <c r="V22" i="1"/>
  <c r="V20" i="1"/>
  <c r="V18" i="1"/>
  <c r="V17" i="1"/>
  <c r="V16" i="1"/>
  <c r="C46" i="1"/>
  <c r="N49" i="1" l="1"/>
  <c r="N32" i="1"/>
  <c r="N19" i="3"/>
  <c r="N18" i="3"/>
  <c r="N17" i="3"/>
  <c r="N16" i="3"/>
  <c r="N15" i="3"/>
  <c r="N14" i="3"/>
  <c r="N12" i="3"/>
  <c r="N11" i="3"/>
  <c r="N10" i="3"/>
  <c r="N9" i="3"/>
  <c r="N8" i="3"/>
  <c r="N7" i="3"/>
  <c r="C63" i="1"/>
  <c r="C56" i="1"/>
  <c r="C39" i="1"/>
  <c r="C22" i="1"/>
  <c r="C29" i="1"/>
  <c r="F62" i="1"/>
  <c r="G62" i="1" s="1"/>
  <c r="F61" i="1"/>
  <c r="G61" i="1" s="1"/>
  <c r="F60" i="1"/>
  <c r="G60" i="1" s="1"/>
  <c r="F59" i="1"/>
  <c r="G59" i="1" s="1"/>
  <c r="F58" i="1"/>
  <c r="G58" i="1" s="1"/>
  <c r="F57" i="1"/>
  <c r="G57" i="1" s="1"/>
  <c r="F45" i="1"/>
  <c r="G45" i="1" s="1"/>
  <c r="F44" i="1"/>
  <c r="G44" i="1" s="1"/>
  <c r="F43" i="1"/>
  <c r="G43" i="1" s="1"/>
  <c r="F42" i="1"/>
  <c r="G42" i="1" s="1"/>
  <c r="F41" i="1"/>
  <c r="G41" i="1" s="1"/>
  <c r="F40" i="1"/>
  <c r="G40" i="1" s="1"/>
  <c r="F55" i="1"/>
  <c r="G55" i="1" s="1"/>
  <c r="F54" i="1"/>
  <c r="G54" i="1" s="1"/>
  <c r="F53" i="1"/>
  <c r="G53" i="1" s="1"/>
  <c r="F52" i="1"/>
  <c r="G52" i="1" s="1"/>
  <c r="F51" i="1"/>
  <c r="G51" i="1" s="1"/>
  <c r="F50" i="1"/>
  <c r="G50" i="1" s="1"/>
  <c r="F38" i="1"/>
  <c r="G38" i="1" s="1"/>
  <c r="F37" i="1"/>
  <c r="G37" i="1" s="1"/>
  <c r="F36" i="1"/>
  <c r="G36" i="1" s="1"/>
  <c r="F35" i="1"/>
  <c r="G35" i="1" s="1"/>
  <c r="F34" i="1"/>
  <c r="G34" i="1" s="1"/>
  <c r="F33" i="1"/>
  <c r="G33" i="1" s="1"/>
  <c r="H33" i="1" s="1"/>
  <c r="I33" i="1" s="1"/>
  <c r="H34" i="1" l="1"/>
  <c r="I34" i="1" s="1"/>
  <c r="N20" i="3"/>
  <c r="N13" i="3"/>
  <c r="H35" i="1" l="1"/>
  <c r="O62" i="1"/>
  <c r="O61" i="1"/>
  <c r="O60" i="1"/>
  <c r="O59" i="1"/>
  <c r="O58" i="1"/>
  <c r="O57" i="1"/>
  <c r="O55" i="1"/>
  <c r="O54" i="1"/>
  <c r="O53" i="1"/>
  <c r="O52" i="1"/>
  <c r="O51" i="1"/>
  <c r="O50" i="1"/>
  <c r="O45" i="1"/>
  <c r="O44" i="1"/>
  <c r="O43" i="1"/>
  <c r="O42" i="1"/>
  <c r="O41" i="1"/>
  <c r="O40" i="1"/>
  <c r="O38" i="1"/>
  <c r="O37" i="1"/>
  <c r="O36" i="1"/>
  <c r="O35" i="1"/>
  <c r="O34" i="1"/>
  <c r="O33" i="1"/>
  <c r="O28" i="1"/>
  <c r="O27" i="1"/>
  <c r="O26" i="1"/>
  <c r="O25" i="1"/>
  <c r="O24" i="1"/>
  <c r="O23" i="1"/>
  <c r="O21" i="1"/>
  <c r="O20" i="1"/>
  <c r="O19" i="1"/>
  <c r="O18" i="1"/>
  <c r="O17" i="1"/>
  <c r="H36" i="1" l="1"/>
  <c r="I35" i="1"/>
  <c r="O16" i="1"/>
  <c r="I36" i="1" l="1"/>
  <c r="H37" i="1"/>
  <c r="Q17" i="1"/>
  <c r="P17" i="1" s="1"/>
  <c r="I37" i="1" l="1"/>
  <c r="H38" i="1"/>
  <c r="Q18" i="1"/>
  <c r="P18" i="1" s="1"/>
  <c r="H40" i="1" l="1"/>
  <c r="I38" i="1"/>
  <c r="Q19" i="1"/>
  <c r="P19" i="1" s="1"/>
  <c r="I40" i="1" l="1"/>
  <c r="H41" i="1"/>
  <c r="Q20" i="1"/>
  <c r="P20" i="1" s="1"/>
  <c r="I41" i="1" l="1"/>
  <c r="H42" i="1"/>
  <c r="Q21" i="1"/>
  <c r="P21" i="1" s="1"/>
  <c r="I42" i="1" l="1"/>
  <c r="H43" i="1"/>
  <c r="Q23" i="1"/>
  <c r="P23" i="1" s="1"/>
  <c r="I43" i="1" l="1"/>
  <c r="H44" i="1"/>
  <c r="V21" i="1"/>
  <c r="Q24" i="1"/>
  <c r="P24" i="1" s="1"/>
  <c r="I44" i="1" l="1"/>
  <c r="H45" i="1"/>
  <c r="Q25" i="1"/>
  <c r="P25" i="1" s="1"/>
  <c r="I45" i="1" l="1"/>
  <c r="H50" i="1"/>
  <c r="Q26" i="1"/>
  <c r="P26" i="1" s="1"/>
  <c r="H51" i="1" l="1"/>
  <c r="I50" i="1"/>
  <c r="Q27" i="1"/>
  <c r="P27" i="1" s="1"/>
  <c r="I51" i="1" l="1"/>
  <c r="H52" i="1"/>
  <c r="Q28" i="1"/>
  <c r="P28" i="1" s="1"/>
  <c r="P33" i="1" s="1"/>
  <c r="P34" i="1" l="1"/>
  <c r="P35" i="1" s="1"/>
  <c r="P36" i="1" s="1"/>
  <c r="P37" i="1" s="1"/>
  <c r="P38" i="1" s="1"/>
  <c r="P40" i="1" s="1"/>
  <c r="P41" i="1" s="1"/>
  <c r="P42" i="1" s="1"/>
  <c r="P43" i="1" s="1"/>
  <c r="P44" i="1" s="1"/>
  <c r="P45" i="1" s="1"/>
  <c r="P50" i="1" s="1"/>
  <c r="P51" i="1" s="1"/>
  <c r="V33" i="1"/>
  <c r="I52" i="1"/>
  <c r="H53" i="1"/>
  <c r="Q33" i="1"/>
  <c r="V44" i="1" l="1"/>
  <c r="P52" i="1"/>
  <c r="I53" i="1"/>
  <c r="H54" i="1"/>
  <c r="Q34" i="1"/>
  <c r="P53" i="1" l="1"/>
  <c r="I54" i="1"/>
  <c r="H55" i="1"/>
  <c r="Q35" i="1"/>
  <c r="P54" i="1" l="1"/>
  <c r="I55" i="1"/>
  <c r="P55" i="1" s="1"/>
  <c r="H57" i="1"/>
  <c r="Q36" i="1"/>
  <c r="I57" i="1" l="1"/>
  <c r="P57" i="1" s="1"/>
  <c r="H58" i="1"/>
  <c r="Q37" i="1"/>
  <c r="I58" i="1" l="1"/>
  <c r="P58" i="1" s="1"/>
  <c r="H59" i="1"/>
  <c r="Q38" i="1"/>
  <c r="I59" i="1" l="1"/>
  <c r="P59" i="1" s="1"/>
  <c r="H60" i="1"/>
  <c r="Q40" i="1"/>
  <c r="I60" i="1" l="1"/>
  <c r="P60" i="1" s="1"/>
  <c r="H61" i="1"/>
  <c r="V38" i="1"/>
  <c r="Q41" i="1"/>
  <c r="I61" i="1" l="1"/>
  <c r="P61" i="1" s="1"/>
  <c r="H62" i="1"/>
  <c r="I62" i="1" s="1"/>
  <c r="I13" i="1" s="1"/>
  <c r="Q42" i="1"/>
  <c r="P62" i="1" l="1"/>
  <c r="Q43" i="1"/>
  <c r="Q44" i="1" l="1"/>
  <c r="Q45" i="1" l="1"/>
  <c r="Q50" i="1" l="1"/>
  <c r="Q51" i="1" l="1"/>
  <c r="Q52" i="1" l="1"/>
  <c r="Q53" i="1" l="1"/>
  <c r="Q54" i="1" l="1"/>
  <c r="Q55" i="1" l="1"/>
  <c r="Q57" i="1" l="1"/>
  <c r="Q58" i="1" l="1"/>
  <c r="Q59" i="1" l="1"/>
  <c r="Q60" i="1" l="1"/>
  <c r="P22" i="3" l="1"/>
  <c r="Q61" i="1"/>
  <c r="Q62" i="1" l="1"/>
  <c r="Q8" i="1"/>
  <c r="Q9" i="1" l="1"/>
  <c r="K16" i="1" l="1"/>
  <c r="Q16" i="1"/>
  <c r="P16" i="1" s="1"/>
  <c r="R16" i="1" l="1"/>
  <c r="J17" i="1"/>
  <c r="K17" i="1" s="1"/>
  <c r="J18" i="1" l="1"/>
  <c r="K18" i="1" s="1"/>
  <c r="J19" i="1" s="1"/>
  <c r="K19" i="1" s="1"/>
  <c r="J20" i="1" s="1"/>
  <c r="R17" i="1"/>
  <c r="R18" i="1" l="1"/>
  <c r="K20" i="1"/>
  <c r="J21" i="1" s="1"/>
  <c r="R19" i="1"/>
  <c r="V19" i="1" s="1"/>
  <c r="K21" i="1" l="1"/>
  <c r="J23" i="1" s="1"/>
  <c r="R20" i="1"/>
  <c r="R21" i="1" l="1"/>
  <c r="K23" i="1"/>
  <c r="J24" i="1" s="1"/>
  <c r="K24" i="1" l="1"/>
  <c r="J25" i="1" s="1"/>
  <c r="R23" i="1"/>
  <c r="K25" i="1" l="1"/>
  <c r="J26" i="1" s="1"/>
  <c r="R24" i="1"/>
  <c r="K26" i="1" l="1"/>
  <c r="J27" i="1" s="1"/>
  <c r="R25" i="1"/>
  <c r="K27" i="1" l="1"/>
  <c r="J28" i="1" s="1"/>
  <c r="R26" i="1"/>
  <c r="K28" i="1" l="1"/>
  <c r="J33" i="1" s="1"/>
  <c r="R27" i="1"/>
  <c r="R28" i="1" l="1"/>
  <c r="K33" i="1" s="1"/>
  <c r="J34" i="1" s="1"/>
  <c r="S28" i="1" l="1"/>
  <c r="V28" i="1"/>
  <c r="R33" i="1"/>
  <c r="S33" i="1" s="1"/>
  <c r="K34" i="1"/>
  <c r="J35" i="1" s="1"/>
  <c r="R34" i="1" l="1"/>
  <c r="S34" i="1" s="1"/>
  <c r="K35" i="1"/>
  <c r="R35" i="1" l="1"/>
  <c r="S35" i="1" l="1"/>
  <c r="V35" i="1"/>
  <c r="V55" i="1" l="1"/>
  <c r="V45" i="1"/>
  <c r="J36" i="1" l="1"/>
  <c r="K36" i="1" s="1"/>
  <c r="J37" i="1" l="1"/>
  <c r="K37" i="1" s="1"/>
  <c r="S36" i="1"/>
  <c r="R36" i="1"/>
  <c r="J38" i="1" l="1"/>
  <c r="K38" i="1" s="1"/>
  <c r="S37" i="1"/>
  <c r="R37" i="1"/>
  <c r="R38" i="1" l="1"/>
  <c r="S38" i="1"/>
  <c r="J40" i="1"/>
  <c r="K40" i="1" s="1"/>
  <c r="R40" i="1" l="1"/>
  <c r="S40" i="1"/>
  <c r="J41" i="1"/>
  <c r="K41" i="1" s="1"/>
  <c r="S41" i="1" l="1"/>
  <c r="J42" i="1"/>
  <c r="K42" i="1" s="1"/>
  <c r="R41" i="1"/>
  <c r="R42" i="1" l="1"/>
  <c r="S42" i="1"/>
  <c r="J43" i="1"/>
  <c r="K43" i="1" s="1"/>
  <c r="J44" i="1" l="1"/>
  <c r="K44" i="1" s="1"/>
  <c r="S43" i="1"/>
  <c r="R43" i="1"/>
  <c r="R44" i="1" l="1"/>
  <c r="S44" i="1"/>
  <c r="J45" i="1"/>
  <c r="K45" i="1" s="1"/>
  <c r="J50" i="1" l="1"/>
  <c r="K50" i="1" s="1"/>
  <c r="R45" i="1"/>
  <c r="S45" i="1"/>
  <c r="S47" i="1" s="1"/>
  <c r="R47" i="1" s="1"/>
  <c r="J51" i="1" l="1"/>
  <c r="K51" i="1" s="1"/>
  <c r="S50" i="1"/>
  <c r="R50" i="1"/>
  <c r="R51" i="1" l="1"/>
  <c r="S51" i="1"/>
  <c r="J52" i="1"/>
  <c r="K52" i="1" s="1"/>
  <c r="R52" i="1" l="1"/>
  <c r="J53" i="1"/>
  <c r="K53" i="1" s="1"/>
  <c r="S52" i="1"/>
  <c r="S53" i="1" l="1"/>
  <c r="R53" i="1"/>
  <c r="J54" i="1"/>
  <c r="K54" i="1" s="1"/>
  <c r="S54" i="1" l="1"/>
  <c r="J55" i="1"/>
  <c r="K55" i="1" s="1"/>
  <c r="R54" i="1"/>
  <c r="S55" i="1" l="1"/>
  <c r="R55" i="1"/>
  <c r="J57" i="1"/>
  <c r="K57" i="1" s="1"/>
  <c r="R57" i="1" l="1"/>
  <c r="S57" i="1"/>
  <c r="J58" i="1"/>
  <c r="K58" i="1" s="1"/>
  <c r="J59" i="1" l="1"/>
  <c r="K59" i="1" s="1"/>
  <c r="S58" i="1"/>
  <c r="R58" i="1"/>
  <c r="J60" i="1" l="1"/>
  <c r="K60" i="1" s="1"/>
  <c r="S59" i="1"/>
  <c r="R59" i="1"/>
  <c r="S60" i="1" l="1"/>
  <c r="R60" i="1"/>
  <c r="J61" i="1"/>
  <c r="K61" i="1" s="1"/>
  <c r="R61" i="1" l="1"/>
  <c r="S61" i="1"/>
  <c r="J62" i="1"/>
  <c r="K62" i="1" s="1"/>
  <c r="L13" i="1" s="1" a="1"/>
  <c r="L13" i="1" s="1"/>
  <c r="K13" i="1" s="1" a="1"/>
  <c r="K13" i="1" s="1"/>
  <c r="R62" i="1" l="1"/>
  <c r="S62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<sst xmlns="http://schemas.openxmlformats.org/spreadsheetml/2006/main" count="234" uniqueCount="84">
  <si>
    <t>2026 Instructions for use of the Pace Tracker Worksheet</t>
  </si>
  <si>
    <t>This workbook is designed to help team captains and support staff stay on top of the team's progress.</t>
  </si>
  <si>
    <r>
      <rPr>
        <sz val="12"/>
        <color rgb="FF000000"/>
        <rFont val="Calibri"/>
        <family val="2"/>
      </rPr>
      <t xml:space="preserve">The Pace Tracker can be used as either a </t>
    </r>
    <r>
      <rPr>
        <b/>
        <sz val="12"/>
        <color rgb="FF000000"/>
        <rFont val="Calibri"/>
        <family val="2"/>
      </rPr>
      <t>static</t>
    </r>
    <r>
      <rPr>
        <sz val="12"/>
        <color rgb="FF000000"/>
        <rFont val="Calibri"/>
        <family val="2"/>
      </rPr>
      <t xml:space="preserve"> worksheet or a </t>
    </r>
    <r>
      <rPr>
        <b/>
        <sz val="12"/>
        <color rgb="FF000000"/>
        <rFont val="Calibri"/>
        <family val="2"/>
      </rPr>
      <t>dynamic</t>
    </r>
    <r>
      <rPr>
        <sz val="12"/>
        <color rgb="FF000000"/>
        <rFont val="Calibri"/>
        <family val="2"/>
      </rPr>
      <t xml:space="preserve"> one.</t>
    </r>
  </si>
  <si>
    <t>Static Features:</t>
  </si>
  <si>
    <t>Version 2.0</t>
  </si>
  <si>
    <t>Team Name:</t>
  </si>
  <si>
    <r>
      <rPr>
        <sz val="11"/>
        <color rgb="FF000000"/>
        <rFont val="Calibri"/>
        <family val="2"/>
      </rPr>
      <t xml:space="preserve">Set up your Team.  For each runner, enter their average </t>
    </r>
    <r>
      <rPr>
        <b/>
        <sz val="11"/>
        <color rgb="FF000000"/>
        <rFont val="Calibri"/>
        <family val="2"/>
      </rPr>
      <t xml:space="preserve">10K </t>
    </r>
    <r>
      <rPr>
        <sz val="11"/>
        <color rgb="FF000000"/>
        <rFont val="Calibri"/>
        <family val="2"/>
      </rPr>
      <t>run time in the Table</t>
    </r>
  </si>
  <si>
    <t>Runner Number</t>
  </si>
  <si>
    <t>Difficulty Rank</t>
  </si>
  <si>
    <t>Cumulative Miles</t>
  </si>
  <si>
    <t>Runner Name</t>
  </si>
  <si>
    <r>
      <rPr>
        <b/>
        <sz val="11"/>
        <color rgb="FF000000"/>
        <rFont val="Calibri"/>
        <family val="2"/>
      </rPr>
      <t xml:space="preserve">Average </t>
    </r>
    <r>
      <rPr>
        <b/>
        <u/>
        <sz val="11"/>
        <color rgb="FF000000"/>
        <rFont val="Calibri"/>
        <family val="2"/>
      </rPr>
      <t>10K</t>
    </r>
    <r>
      <rPr>
        <b/>
        <sz val="11"/>
        <color rgb="FF000000"/>
        <rFont val="Calibri"/>
        <family val="2"/>
      </rPr>
      <t xml:space="preserve"> Time
(Decimal Minutes)</t>
    </r>
  </si>
  <si>
    <t>Don't forget, this is not a walking event.  Your team should be able to complete the</t>
  </si>
  <si>
    <t>entire course in less than 33 hours -- an average pace of less than 11 min/mi.</t>
  </si>
  <si>
    <t>The Difficulty Rank for each runner (across all three segments they run) is shown to</t>
  </si>
  <si>
    <t>guide your assignment of runners to run legs, where 1 is most difficult and 12 easiest.</t>
  </si>
  <si>
    <t>The runner information and pace times (right) are linked to the Pace Tracker worksheet.</t>
  </si>
  <si>
    <t>The Pace Tracker will show the estimated start and completion time for each leg as</t>
  </si>
  <si>
    <t>well as the van exchange times.</t>
  </si>
  <si>
    <t> </t>
  </si>
  <si>
    <t>Be alert for any Red cells in column N that indicate you may have to skip ahead in</t>
  </si>
  <si>
    <t>order to make exchange point cut-off times.</t>
  </si>
  <si>
    <t>You can only change values in the Yellow cells of the Pace Tracker.</t>
  </si>
  <si>
    <t>You may print a copy of the Pace Tracker for each van and team captains</t>
  </si>
  <si>
    <t>Print and have available in your van.</t>
  </si>
  <si>
    <t>Dynamic Features (optional):</t>
  </si>
  <si>
    <t>If using the workbook in Excel during the event, you may enter any actual finish</t>
  </si>
  <si>
    <t xml:space="preserve">time in the yellow cells of the Pace Tracker for a leg and the remaining </t>
  </si>
  <si>
    <t>Your Estimated Total Time (Hrs:Min) to Complete the Odyssey is::</t>
  </si>
  <si>
    <t xml:space="preserve">projected times will be adjusted accordingly. </t>
  </si>
  <si>
    <t>Be sure to enter times as either AM or PM (e.g. 2:05 PM). Alternatively,</t>
  </si>
  <si>
    <t>Race178 will assign an official start time in May which can be entered to the right.</t>
  </si>
  <si>
    <t>entered here</t>
  </si>
  <si>
    <t xml:space="preserve"> you may enter times using the 24 hour clock (e.g. 14:05).</t>
  </si>
  <si>
    <t>The end-time cells will be color coded to show if the team is ahead or behind.</t>
  </si>
  <si>
    <t>A new "Projected Finish" is displayed at the top of the table in cell L13.</t>
  </si>
  <si>
    <t>Reno-Tahoe Odyssey Relay Run Adventure</t>
  </si>
  <si>
    <t>May 29-30, 2026</t>
  </si>
  <si>
    <t>Desired Finish</t>
  </si>
  <si>
    <t>Est Elapsed Time</t>
  </si>
  <si>
    <r>
      <t xml:space="preserve">CAPTAINS - Enter Runner nformation in the yellow fields on the </t>
    </r>
    <r>
      <rPr>
        <b/>
        <sz val="11"/>
        <color theme="1"/>
        <rFont val="Calibri"/>
        <family val="2"/>
        <scheme val="minor"/>
      </rPr>
      <t>Set-up tab</t>
    </r>
    <r>
      <rPr>
        <sz val="11"/>
        <color theme="1"/>
        <rFont val="Calibri"/>
        <family val="2"/>
        <scheme val="minor"/>
      </rPr>
      <t xml:space="preserve"> and it will do the rest for you (Runner Name, Avg 10K Time))</t>
    </r>
  </si>
  <si>
    <t>Calculated Start</t>
  </si>
  <si>
    <t>Enter official  assigned start time below. If you enter an actual end time for any leg, the projected finish time will be adjusted.</t>
  </si>
  <si>
    <t>ENTER TIME IN 24 HR FORMAT (e.g. 14:05 for 2:05 PM)</t>
  </si>
  <si>
    <t>Start Time (unofficial until assigned by the RTO officials)</t>
  </si>
  <si>
    <t>IF(AND(L16&gt;0,K16&gt;1),1+L16,L16)</t>
  </si>
  <si>
    <t>Estimated Finish:</t>
  </si>
  <si>
    <t>Runner should arrive at exchange point before  this time *</t>
  </si>
  <si>
    <t>Minutes as Time</t>
  </si>
  <si>
    <t>Day Index</t>
  </si>
  <si>
    <t>Cum Est Time</t>
  </si>
  <si>
    <t>Cum Proj Elapsed Time</t>
  </si>
  <si>
    <t>Time for shading Col N</t>
  </si>
  <si>
    <t>Time cutoffs for shading Exchange Pts</t>
  </si>
  <si>
    <t>Time for shading col L</t>
  </si>
  <si>
    <t>l</t>
  </si>
  <si>
    <t>1st Leg</t>
  </si>
  <si>
    <t>Runner</t>
  </si>
  <si>
    <t>Leg</t>
  </si>
  <si>
    <t>Miles</t>
  </si>
  <si>
    <t>Rating</t>
  </si>
  <si>
    <r>
      <t xml:space="preserve">Min per Mile
</t>
    </r>
    <r>
      <rPr>
        <b/>
        <sz val="9"/>
        <color rgb="FF000000"/>
        <rFont val="Calibri (Body)"/>
      </rPr>
      <t>(Decimal Min)</t>
    </r>
  </si>
  <si>
    <t>Minutes</t>
  </si>
  <si>
    <t>Total Elapsed Min</t>
  </si>
  <si>
    <t>Hours</t>
  </si>
  <si>
    <t>Start of Leg</t>
  </si>
  <si>
    <t>Time end of Leg</t>
  </si>
  <si>
    <t>Actual End time</t>
  </si>
  <si>
    <t>E</t>
  </si>
  <si>
    <t>M</t>
  </si>
  <si>
    <t>MD</t>
  </si>
  <si>
    <t>Total Miles VAN 1</t>
  </si>
  <si>
    <t>MC</t>
  </si>
  <si>
    <t>If runner arrives at XP12 after 10:30 PM, next runner skips to XP15</t>
  </si>
  <si>
    <t>Total Miles VAN 2</t>
  </si>
  <si>
    <t>2nd Leg</t>
  </si>
  <si>
    <t>Min per Mile</t>
  </si>
  <si>
    <t>If runner arrives at XP 18 before 10:30 PM next runner will be held for a RESTART ; If runner arrives at XP 18 after 1:30 AM next runner skips to XP 21</t>
  </si>
  <si>
    <t>If runner arrives at XP 24 before 2:30 AM next runner will be held for a RESTART; If runner arrives at XP 24 after 5:30 AM next runner skips to XP 27</t>
  </si>
  <si>
    <t>3rd Leg</t>
  </si>
  <si>
    <t>VAN 1 must be done and at XP 30 by 11:00 AM</t>
  </si>
  <si>
    <t>All VAN 2s start no later than 9:30 AM</t>
  </si>
  <si>
    <t>CONGRATS!</t>
  </si>
  <si>
    <t>*If your runner doesn’t reach the Exchange Point by the time it closes, follow instructions above and/or you may be instructed by a Race Director to skip leg(s).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</si>
</sst>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(* #,##0.00_);_(* \(#,##0.00\);_(* &quot;-&quot;??_);_(@_)"/>
    <numFmt numFmtId="164" formatCode="[$-F400]h:mm:ss\ AM/PM"/>
    <numFmt numFmtId="165" formatCode="0.0"/>
    <numFmt numFmtId="166" formatCode="[$-409]h:mm\ AM/PM;@"/>
    <numFmt numFmtId="167" formatCode="[h]:mm"/>
  </numFmts>
  <fonts count="19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8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9"/>
      <color rgb="FF000000"/>
      <name val="Calibri (Body)"/>
    </font>
    <font>
      <i/>
      <sz val="9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1"/>
      <color rgb="FF000000"/>
      <name val="Calibri"/>
      <family val="2"/>
    </font>
    <font>
      <b/>
      <u/>
      <sz val="11"/>
      <color rgb="FF000000"/>
      <name val="Calibri"/>
      <family val="2"/>
    </font>
    <font>
      <sz val="12"/>
      <color rgb="FF000000"/>
      <name val="Calibri"/>
      <family val="2"/>
    </font>
    <font>
      <b/>
      <sz val="12"/>
      <color rgb="FF000000"/>
      <name val="Calibri"/>
      <family val="2"/>
    </font>
  </fonts>
  <fills count="1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0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82EA46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EEB1B0"/>
        <bgColor indexed="64"/>
      </patternFill>
    </fill>
    <fill>
      <patternFill patternType="solid">
        <fgColor rgb="FFFFFF00"/>
        <bgColor rgb="FFFFFF00"/>
      </patternFill>
    </fill>
    <fill>
      <patternFill patternType="solid">
        <fgColor rgb="FF95B3D7"/>
        <bgColor rgb="FF95B3D7"/>
      </patternFill>
    </fill>
  </fills>
  <borders count="13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rgb="FF000000"/>
      </right>
      <top/>
      <bottom style="medium">
        <color rgb="FF000000"/>
      </bottom>
      <diagonal/>
    </border>
  </borders>
  <cellStyleXfs count="3">
    <xf numFmtId="0" fontId="0" fillId="0" borderId="0"/>
    <xf numFmtId="43" fontId="2" fillId="0" borderId="0" applyFont="0" applyFill="0" applyBorder="0" applyAlignment="0" applyProtection="0"/>
    <xf numFmtId="0" fontId="11" fillId="0" borderId="0" applyNumberFormat="0" applyFill="0" applyBorder="0" applyAlignment="0" applyProtection="0"/>
  </cellStyleXfs>
  <cellXfs count="102">
    <xf numFmtId="0" fontId="0" fillId="0" borderId="0" xfId="0"/>
    <xf numFmtId="43" fontId="0" fillId="0" borderId="0" xfId="1" applyFont="1"/>
    <xf numFmtId="164" fontId="3" fillId="0" borderId="0" xfId="1" applyNumberFormat="1" applyFont="1"/>
    <xf numFmtId="164" fontId="0" fillId="0" borderId="0" xfId="1" applyNumberFormat="1" applyFont="1"/>
    <xf numFmtId="0" fontId="4" fillId="0" borderId="0" xfId="0" applyFont="1"/>
    <xf numFmtId="0" fontId="3" fillId="0" borderId="0" xfId="0" applyFont="1"/>
    <xf numFmtId="0" fontId="0" fillId="2" borderId="1" xfId="0" applyFill="1" applyBorder="1" applyAlignment="1">
      <alignment vertical="top" wrapText="1"/>
    </xf>
    <xf numFmtId="0" fontId="5" fillId="3" borderId="1" xfId="0" applyFont="1" applyFill="1" applyBorder="1" applyAlignment="1">
      <alignment horizontal="center" vertical="top" wrapText="1"/>
    </xf>
    <xf numFmtId="0" fontId="5" fillId="3" borderId="2" xfId="0" applyFont="1" applyFill="1" applyBorder="1" applyAlignment="1">
      <alignment horizontal="center" vertical="top" wrapText="1"/>
    </xf>
    <xf numFmtId="0" fontId="5" fillId="2" borderId="1" xfId="0" applyFont="1" applyFill="1" applyBorder="1" applyAlignment="1">
      <alignment horizontal="center" vertical="top" wrapText="1"/>
    </xf>
    <xf numFmtId="43" fontId="5" fillId="2" borderId="1" xfId="1" applyFont="1" applyFill="1" applyBorder="1" applyAlignment="1">
      <alignment horizontal="center" vertical="top" wrapText="1"/>
    </xf>
    <xf numFmtId="0" fontId="6" fillId="3" borderId="1" xfId="0" applyFont="1" applyFill="1" applyBorder="1" applyAlignment="1">
      <alignment horizontal="center" vertical="top" wrapText="1"/>
    </xf>
    <xf numFmtId="0" fontId="6" fillId="2" borderId="1" xfId="0" applyFont="1" applyFill="1" applyBorder="1" applyAlignment="1">
      <alignment horizontal="center" vertical="top" wrapText="1"/>
    </xf>
    <xf numFmtId="43" fontId="6" fillId="2" borderId="1" xfId="1" applyFont="1" applyFill="1" applyBorder="1" applyAlignment="1">
      <alignment horizontal="center" vertical="top" wrapText="1"/>
    </xf>
    <xf numFmtId="18" fontId="6" fillId="2" borderId="1" xfId="0" applyNumberFormat="1" applyFont="1" applyFill="1" applyBorder="1" applyAlignment="1">
      <alignment horizontal="center" vertical="top" wrapText="1"/>
    </xf>
    <xf numFmtId="0" fontId="6" fillId="3" borderId="2" xfId="0" applyFont="1" applyFill="1" applyBorder="1" applyAlignment="1">
      <alignment horizontal="center" vertical="top" wrapText="1"/>
    </xf>
    <xf numFmtId="18" fontId="6" fillId="2" borderId="1" xfId="1" applyNumberFormat="1" applyFont="1" applyFill="1" applyBorder="1" applyAlignment="1">
      <alignment horizontal="center" vertical="top" wrapText="1"/>
    </xf>
    <xf numFmtId="0" fontId="5" fillId="3" borderId="1" xfId="0" applyFont="1" applyFill="1" applyBorder="1" applyAlignment="1">
      <alignment vertical="top" wrapText="1"/>
    </xf>
    <xf numFmtId="0" fontId="5" fillId="3" borderId="2" xfId="0" applyFont="1" applyFill="1" applyBorder="1" applyAlignment="1">
      <alignment vertical="top" wrapText="1"/>
    </xf>
    <xf numFmtId="165" fontId="5" fillId="7" borderId="1" xfId="0" applyNumberFormat="1" applyFont="1" applyFill="1" applyBorder="1" applyAlignment="1">
      <alignment horizontal="center" vertical="top" wrapText="1"/>
    </xf>
    <xf numFmtId="0" fontId="0" fillId="8" borderId="6" xfId="0" applyFill="1" applyBorder="1" applyAlignment="1">
      <alignment horizontal="center"/>
    </xf>
    <xf numFmtId="0" fontId="0" fillId="0" borderId="5" xfId="0" applyBorder="1"/>
    <xf numFmtId="0" fontId="7" fillId="8" borderId="6" xfId="0" applyFont="1" applyFill="1" applyBorder="1" applyAlignment="1">
      <alignment horizontal="center"/>
    </xf>
    <xf numFmtId="0" fontId="3" fillId="0" borderId="0" xfId="0" applyFont="1" applyAlignment="1">
      <alignment horizontal="center"/>
    </xf>
    <xf numFmtId="164" fontId="3" fillId="0" borderId="0" xfId="1" applyNumberFormat="1" applyFont="1" applyFill="1"/>
    <xf numFmtId="18" fontId="6" fillId="4" borderId="1" xfId="0" applyNumberFormat="1" applyFont="1" applyFill="1" applyBorder="1" applyAlignment="1" applyProtection="1">
      <alignment horizontal="center" vertical="top" wrapText="1"/>
      <protection locked="0"/>
    </xf>
    <xf numFmtId="0" fontId="0" fillId="0" borderId="0" xfId="0" applyAlignment="1">
      <alignment horizontal="center" wrapText="1"/>
    </xf>
    <xf numFmtId="21" fontId="0" fillId="0" borderId="0" xfId="0" applyNumberFormat="1"/>
    <xf numFmtId="0" fontId="0" fillId="0" borderId="0" xfId="0" applyAlignment="1">
      <alignment horizontal="center"/>
    </xf>
    <xf numFmtId="1" fontId="5" fillId="7" borderId="1" xfId="0" applyNumberFormat="1" applyFont="1" applyFill="1" applyBorder="1" applyAlignment="1">
      <alignment horizontal="center" vertical="top" wrapText="1"/>
    </xf>
    <xf numFmtId="1" fontId="6" fillId="9" borderId="1" xfId="0" applyNumberFormat="1" applyFont="1" applyFill="1" applyBorder="1" applyAlignment="1">
      <alignment horizontal="center" vertical="top" wrapText="1"/>
    </xf>
    <xf numFmtId="165" fontId="6" fillId="9" borderId="1" xfId="0" applyNumberFormat="1" applyFont="1" applyFill="1" applyBorder="1" applyAlignment="1">
      <alignment horizontal="center" vertical="top" wrapText="1"/>
    </xf>
    <xf numFmtId="18" fontId="0" fillId="0" borderId="0" xfId="0" applyNumberFormat="1"/>
    <xf numFmtId="164" fontId="0" fillId="0" borderId="0" xfId="0" applyNumberFormat="1"/>
    <xf numFmtId="2" fontId="0" fillId="0" borderId="0" xfId="0" applyNumberFormat="1"/>
    <xf numFmtId="0" fontId="3" fillId="0" borderId="5" xfId="0" applyFont="1" applyBorder="1" applyAlignment="1">
      <alignment wrapText="1"/>
    </xf>
    <xf numFmtId="166" fontId="0" fillId="0" borderId="5" xfId="0" applyNumberFormat="1" applyBorder="1"/>
    <xf numFmtId="166" fontId="0" fillId="0" borderId="0" xfId="0" applyNumberFormat="1"/>
    <xf numFmtId="166" fontId="6" fillId="2" borderId="1" xfId="1" applyNumberFormat="1" applyFont="1" applyFill="1" applyBorder="1" applyAlignment="1">
      <alignment horizontal="center" vertical="top" wrapText="1"/>
    </xf>
    <xf numFmtId="166" fontId="6" fillId="2" borderId="1" xfId="0" applyNumberFormat="1" applyFont="1" applyFill="1" applyBorder="1" applyAlignment="1">
      <alignment horizontal="center" vertical="top" wrapText="1"/>
    </xf>
    <xf numFmtId="166" fontId="3" fillId="0" borderId="0" xfId="1" applyNumberFormat="1" applyFont="1"/>
    <xf numFmtId="18" fontId="0" fillId="0" borderId="0" xfId="0" applyNumberFormat="1" applyAlignment="1">
      <alignment horizontal="center" wrapText="1"/>
    </xf>
    <xf numFmtId="1" fontId="0" fillId="0" borderId="0" xfId="0" applyNumberFormat="1"/>
    <xf numFmtId="21" fontId="0" fillId="0" borderId="0" xfId="0" applyNumberFormat="1" applyAlignment="1">
      <alignment wrapText="1"/>
    </xf>
    <xf numFmtId="166" fontId="0" fillId="0" borderId="0" xfId="0" applyNumberFormat="1" applyAlignment="1">
      <alignment horizontal="center" wrapText="1"/>
    </xf>
    <xf numFmtId="166" fontId="0" fillId="0" borderId="0" xfId="0" applyNumberFormat="1" applyAlignment="1">
      <alignment horizontal="centerContinuous" wrapText="1"/>
    </xf>
    <xf numFmtId="0" fontId="3" fillId="5" borderId="5" xfId="0" applyFont="1" applyFill="1" applyBorder="1" applyAlignment="1">
      <alignment horizontal="center" wrapText="1"/>
    </xf>
    <xf numFmtId="0" fontId="0" fillId="0" borderId="0" xfId="0" applyAlignment="1">
      <alignment horizontal="right"/>
    </xf>
    <xf numFmtId="0" fontId="3" fillId="12" borderId="5" xfId="0" applyFont="1" applyFill="1" applyBorder="1" applyAlignment="1">
      <alignment horizontal="center" wrapText="1"/>
    </xf>
    <xf numFmtId="0" fontId="5" fillId="11" borderId="2" xfId="0" applyFont="1" applyFill="1" applyBorder="1" applyAlignment="1">
      <alignment horizontal="centerContinuous" vertical="top" wrapText="1"/>
    </xf>
    <xf numFmtId="0" fontId="5" fillId="11" borderId="3" xfId="0" applyFont="1" applyFill="1" applyBorder="1" applyAlignment="1">
      <alignment horizontal="centerContinuous" vertical="top" wrapText="1"/>
    </xf>
    <xf numFmtId="0" fontId="5" fillId="11" borderId="4" xfId="0" applyFont="1" applyFill="1" applyBorder="1" applyAlignment="1">
      <alignment horizontal="centerContinuous" vertical="top" wrapText="1"/>
    </xf>
    <xf numFmtId="166" fontId="3" fillId="0" borderId="0" xfId="1" applyNumberFormat="1" applyFont="1" applyAlignment="1">
      <alignment wrapText="1"/>
    </xf>
    <xf numFmtId="0" fontId="5" fillId="7" borderId="2" xfId="0" applyFont="1" applyFill="1" applyBorder="1" applyAlignment="1">
      <alignment horizontal="centerContinuous" vertical="top" wrapText="1"/>
    </xf>
    <xf numFmtId="0" fontId="5" fillId="7" borderId="3" xfId="0" applyFont="1" applyFill="1" applyBorder="1" applyAlignment="1">
      <alignment horizontal="centerContinuous" vertical="top" wrapText="1"/>
    </xf>
    <xf numFmtId="0" fontId="5" fillId="7" borderId="4" xfId="0" applyFont="1" applyFill="1" applyBorder="1" applyAlignment="1">
      <alignment horizontal="centerContinuous" vertical="top" wrapText="1"/>
    </xf>
    <xf numFmtId="166" fontId="3" fillId="4" borderId="0" xfId="1" applyNumberFormat="1" applyFont="1" applyFill="1" applyProtection="1">
      <protection locked="0"/>
    </xf>
    <xf numFmtId="0" fontId="3" fillId="13" borderId="0" xfId="0" applyFont="1" applyFill="1"/>
    <xf numFmtId="0" fontId="11" fillId="0" borderId="0" xfId="2" applyAlignment="1">
      <alignment horizontal="center"/>
    </xf>
    <xf numFmtId="2" fontId="0" fillId="5" borderId="5" xfId="0" applyNumberFormat="1" applyFill="1" applyBorder="1" applyAlignment="1">
      <alignment horizontal="center"/>
    </xf>
    <xf numFmtId="2" fontId="6" fillId="2" borderId="1" xfId="0" applyNumberFormat="1" applyFont="1" applyFill="1" applyBorder="1" applyAlignment="1">
      <alignment horizontal="center" vertical="top" wrapText="1"/>
    </xf>
    <xf numFmtId="2" fontId="0" fillId="6" borderId="1" xfId="0" applyNumberFormat="1" applyFill="1" applyBorder="1" applyAlignment="1">
      <alignment horizontal="center"/>
    </xf>
    <xf numFmtId="2" fontId="0" fillId="6" borderId="1" xfId="0" applyNumberFormat="1" applyFill="1" applyBorder="1" applyAlignment="1">
      <alignment horizontal="center" vertical="top"/>
    </xf>
    <xf numFmtId="167" fontId="10" fillId="0" borderId="7" xfId="0" applyNumberFormat="1" applyFont="1" applyBorder="1"/>
    <xf numFmtId="167" fontId="0" fillId="0" borderId="0" xfId="0" applyNumberFormat="1"/>
    <xf numFmtId="45" fontId="0" fillId="0" borderId="0" xfId="0" applyNumberFormat="1"/>
    <xf numFmtId="0" fontId="10" fillId="0" borderId="0" xfId="0" applyFont="1"/>
    <xf numFmtId="0" fontId="5" fillId="2" borderId="8" xfId="0" applyFont="1" applyFill="1" applyBorder="1" applyAlignment="1">
      <alignment horizontal="center" vertical="top" wrapText="1"/>
    </xf>
    <xf numFmtId="0" fontId="3" fillId="11" borderId="0" xfId="0" applyFont="1" applyFill="1" applyAlignment="1">
      <alignment wrapText="1"/>
    </xf>
    <xf numFmtId="0" fontId="3" fillId="11" borderId="0" xfId="0" applyFont="1" applyFill="1" applyAlignment="1">
      <alignment horizontal="right"/>
    </xf>
    <xf numFmtId="0" fontId="13" fillId="0" borderId="0" xfId="0" applyFont="1" applyAlignment="1">
      <alignment horizontal="right"/>
    </xf>
    <xf numFmtId="0" fontId="0" fillId="5" borderId="5" xfId="0" applyFill="1" applyBorder="1"/>
    <xf numFmtId="0" fontId="1" fillId="0" borderId="0" xfId="0" applyFont="1"/>
    <xf numFmtId="0" fontId="1" fillId="0" borderId="0" xfId="0" applyFont="1" applyAlignment="1">
      <alignment horizontal="right" vertical="center"/>
    </xf>
    <xf numFmtId="0" fontId="1" fillId="10" borderId="0" xfId="0" applyFont="1" applyFill="1"/>
    <xf numFmtId="0" fontId="1" fillId="0" borderId="0" xfId="0" applyFont="1" applyAlignment="1">
      <alignment wrapText="1"/>
    </xf>
    <xf numFmtId="0" fontId="3" fillId="13" borderId="0" xfId="0" applyFont="1" applyFill="1" applyAlignment="1">
      <alignment wrapText="1"/>
    </xf>
    <xf numFmtId="0" fontId="15" fillId="2" borderId="8" xfId="0" applyFont="1" applyFill="1" applyBorder="1" applyAlignment="1">
      <alignment horizontal="center" vertical="top" wrapText="1"/>
    </xf>
    <xf numFmtId="0" fontId="17" fillId="0" borderId="0" xfId="0" applyFont="1"/>
    <xf numFmtId="0" fontId="3" fillId="7" borderId="1" xfId="0" applyFont="1" applyFill="1" applyBorder="1" applyAlignment="1">
      <alignment horizontal="right" vertical="top" wrapText="1"/>
    </xf>
    <xf numFmtId="0" fontId="0" fillId="11" borderId="0" xfId="0" applyFill="1"/>
    <xf numFmtId="0" fontId="0" fillId="11" borderId="0" xfId="0" applyFill="1" applyAlignment="1">
      <alignment vertical="center"/>
    </xf>
    <xf numFmtId="20" fontId="5" fillId="7" borderId="4" xfId="0" applyNumberFormat="1" applyFont="1" applyFill="1" applyBorder="1" applyAlignment="1">
      <alignment horizontal="centerContinuous" vertical="top" wrapText="1"/>
    </xf>
    <xf numFmtId="0" fontId="0" fillId="11" borderId="0" xfId="0" applyFill="1" applyAlignment="1">
      <alignment horizontal="right"/>
    </xf>
    <xf numFmtId="166" fontId="3" fillId="0" borderId="5" xfId="0" applyNumberFormat="1" applyFont="1" applyBorder="1" applyAlignment="1">
      <alignment wrapText="1"/>
    </xf>
    <xf numFmtId="14" fontId="0" fillId="0" borderId="0" xfId="0" applyNumberFormat="1"/>
    <xf numFmtId="0" fontId="14" fillId="14" borderId="1" xfId="0" applyFont="1" applyFill="1" applyBorder="1" applyAlignment="1">
      <alignment wrapText="1"/>
    </xf>
    <xf numFmtId="0" fontId="14" fillId="14" borderId="8" xfId="0" applyFont="1" applyFill="1" applyBorder="1" applyAlignment="1">
      <alignment wrapText="1"/>
    </xf>
    <xf numFmtId="0" fontId="15" fillId="15" borderId="8" xfId="0" applyFont="1" applyFill="1" applyBorder="1" applyAlignment="1">
      <alignment wrapText="1"/>
    </xf>
    <xf numFmtId="0" fontId="15" fillId="15" borderId="12" xfId="0" applyFont="1" applyFill="1" applyBorder="1" applyAlignment="1">
      <alignment wrapText="1"/>
    </xf>
    <xf numFmtId="2" fontId="0" fillId="5" borderId="5" xfId="0" applyNumberFormat="1" applyFill="1" applyBorder="1" applyAlignment="1">
      <alignment horizontal="center" vertical="top"/>
    </xf>
    <xf numFmtId="0" fontId="14" fillId="14" borderId="4" xfId="0" applyFont="1" applyFill="1" applyBorder="1" applyAlignment="1">
      <alignment wrapText="1"/>
    </xf>
    <xf numFmtId="0" fontId="9" fillId="11" borderId="0" xfId="0" applyFont="1" applyFill="1" applyAlignment="1">
      <alignment horizontal="left"/>
    </xf>
    <xf numFmtId="0" fontId="14" fillId="0" borderId="0" xfId="0" applyFont="1" applyAlignment="1">
      <alignment horizontal="left" wrapText="1"/>
    </xf>
    <xf numFmtId="0" fontId="0" fillId="0" borderId="0" xfId="0" applyAlignment="1">
      <alignment horizontal="left" wrapText="1"/>
    </xf>
    <xf numFmtId="0" fontId="3" fillId="0" borderId="0" xfId="0" applyFont="1" applyAlignment="1">
      <alignment horizontal="left"/>
    </xf>
    <xf numFmtId="0" fontId="3" fillId="0" borderId="11" xfId="0" applyFont="1" applyBorder="1" applyAlignment="1">
      <alignment horizontal="left"/>
    </xf>
    <xf numFmtId="0" fontId="1" fillId="0" borderId="0" xfId="0" applyFont="1" applyAlignment="1">
      <alignment horizontal="left"/>
    </xf>
    <xf numFmtId="0" fontId="1" fillId="4" borderId="9" xfId="0" applyFont="1" applyFill="1" applyBorder="1" applyAlignment="1">
      <alignment horizontal="center" vertical="center"/>
    </xf>
    <xf numFmtId="0" fontId="1" fillId="4" borderId="10" xfId="0" applyFont="1" applyFill="1" applyBorder="1" applyAlignment="1">
      <alignment horizontal="center" vertical="center"/>
    </xf>
    <xf numFmtId="0" fontId="1" fillId="4" borderId="6" xfId="0" applyFont="1" applyFill="1" applyBorder="1" applyAlignment="1">
      <alignment horizontal="center" vertical="center"/>
    </xf>
    <xf numFmtId="0" fontId="3" fillId="0" borderId="0" xfId="0" applyFont="1"/>
  </cellXfs>
  <cellStyles count="3">
    <cellStyle name="Comma" xfId="1" builtinId="3"/>
    <cellStyle name="Hyperlink" xfId="2" builtinId="8"/>
    <cellStyle name="Normal" xfId="0" builtinId="0"/>
  </cellStyles>
  <dxfs count="1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1"/>
      </font>
      <fill>
        <patternFill>
          <bgColor rgb="FFEEB1B0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1"/>
      </font>
      <fill>
        <patternFill>
          <bgColor rgb="FFEEB1B0"/>
        </patternFill>
      </fill>
    </dxf>
    <dxf>
      <fill>
        <patternFill>
          <bgColor rgb="FFF5DFDB"/>
        </patternFill>
      </fill>
    </dxf>
    <dxf>
      <font>
        <color theme="1"/>
      </font>
      <fill>
        <patternFill>
          <bgColor rgb="FFEEB1B0"/>
        </patternFill>
      </fill>
    </dxf>
    <dxf>
      <font>
        <b/>
        <i val="0"/>
        <color theme="1"/>
      </font>
      <fill>
        <patternFill>
          <bgColor rgb="FFEEB1B0"/>
        </patternFill>
      </fill>
    </dxf>
    <dxf>
      <font>
        <color theme="1"/>
      </font>
      <fill>
        <patternFill>
          <bgColor rgb="FFEEB1B0"/>
        </patternFill>
      </fill>
    </dxf>
    <dxf>
      <font>
        <color theme="1"/>
      </font>
      <fill>
        <patternFill>
          <bgColor rgb="FFFFC000"/>
        </patternFill>
      </fill>
    </dxf>
    <dxf>
      <font>
        <b/>
        <i val="0"/>
        <color theme="1"/>
      </font>
      <fill>
        <patternFill>
          <bgColor rgb="FFEEB1B0"/>
        </patternFill>
      </fill>
    </dxf>
    <dxf>
      <font>
        <b/>
        <i val="0"/>
        <color theme="1"/>
      </font>
      <fill>
        <patternFill>
          <bgColor rgb="FFEEB1B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9" defaultPivotStyle="PivotStyleLight16"/>
  <colors>
    <mruColors>
      <color rgb="FFF5DFDB"/>
      <color rgb="FFEEB1B0"/>
      <color rgb="FFECB19F"/>
      <color rgb="FFFBBA07"/>
      <color rgb="FFFAAD05"/>
      <color rgb="FFFF7C80"/>
      <color rgb="FFE98A84"/>
      <color rgb="FFEDA9BB"/>
      <color rgb="FF82EA4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1290198</xdr:colOff>
      <xdr:row>0</xdr:row>
      <xdr:rowOff>0</xdr:rowOff>
    </xdr:from>
    <xdr:to>
      <xdr:col>15</xdr:col>
      <xdr:colOff>889636</xdr:colOff>
      <xdr:row>3</xdr:row>
      <xdr:rowOff>126999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E104104-404E-5441-ACC0-A0441A068C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429743" y="0"/>
          <a:ext cx="1362429" cy="77354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0</xdr:row>
      <xdr:rowOff>1540</xdr:rowOff>
    </xdr:from>
    <xdr:to>
      <xdr:col>0</xdr:col>
      <xdr:colOff>1026160</xdr:colOff>
      <xdr:row>2</xdr:row>
      <xdr:rowOff>176122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47625" y="1540"/>
          <a:ext cx="978535" cy="56066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FF00"/>
    <pageSetUpPr fitToPage="1"/>
  </sheetPr>
  <dimension ref="A1:P75"/>
  <sheetViews>
    <sheetView tabSelected="1" zoomScale="110" zoomScaleNormal="110" workbookViewId="0">
      <pane xSplit="1" ySplit="4" topLeftCell="C5" activePane="bottomRight" state="frozen"/>
      <selection pane="topRight" activeCell="B1" sqref="B1"/>
      <selection pane="bottomLeft" activeCell="A5" sqref="A5"/>
      <selection pane="bottomRight" activeCell="V11" sqref="V11"/>
    </sheetView>
  </sheetViews>
  <sheetFormatPr baseColWidth="10" defaultColWidth="8.83203125" defaultRowHeight="15" x14ac:dyDescent="0.2"/>
  <cols>
    <col min="1" max="2" width="2.5" customWidth="1"/>
    <col min="3" max="3" width="13" customWidth="1"/>
    <col min="4" max="4" width="7.83203125" customWidth="1"/>
    <col min="5" max="5" width="8.5" customWidth="1"/>
    <col min="6" max="6" width="11.5" customWidth="1"/>
    <col min="7" max="7" width="18.83203125" customWidth="1"/>
    <col min="8" max="8" width="15.6640625" customWidth="1"/>
    <col min="9" max="9" width="1.6640625" customWidth="1"/>
    <col min="10" max="10" width="1.33203125" customWidth="1"/>
    <col min="11" max="11" width="5.83203125" customWidth="1"/>
    <col min="14" max="14" width="9.6640625" customWidth="1"/>
    <col min="15" max="15" width="23.5" customWidth="1"/>
    <col min="16" max="16" width="17.5" customWidth="1"/>
    <col min="17" max="17" width="2.83203125" customWidth="1"/>
  </cols>
  <sheetData>
    <row r="1" spans="1:16" ht="19" customHeight="1" x14ac:dyDescent="0.25">
      <c r="A1" s="92" t="s">
        <v>0</v>
      </c>
      <c r="B1" s="92"/>
      <c r="C1" s="92"/>
      <c r="D1" s="92"/>
      <c r="E1" s="92"/>
      <c r="F1" s="92"/>
      <c r="G1" s="92"/>
      <c r="H1" s="92"/>
    </row>
    <row r="3" spans="1:16" ht="16" x14ac:dyDescent="0.2">
      <c r="B3" s="72" t="s">
        <v>1</v>
      </c>
      <c r="C3" s="72"/>
      <c r="D3" s="72"/>
      <c r="E3" s="72"/>
      <c r="F3" s="72"/>
      <c r="G3" s="72"/>
      <c r="H3" s="72"/>
      <c r="I3" s="72"/>
      <c r="J3" s="72"/>
      <c r="K3" s="72"/>
      <c r="L3" s="72"/>
      <c r="M3" s="72"/>
      <c r="N3" s="72"/>
      <c r="O3" s="72"/>
    </row>
    <row r="4" spans="1:16" ht="16" x14ac:dyDescent="0.2">
      <c r="B4" s="78" t="s">
        <v>2</v>
      </c>
      <c r="D4" s="72"/>
      <c r="E4" s="72"/>
      <c r="F4" s="72"/>
      <c r="G4" s="72"/>
      <c r="H4" s="72"/>
      <c r="I4" s="72"/>
      <c r="J4" s="72"/>
      <c r="K4" s="72"/>
      <c r="L4" s="72"/>
      <c r="M4" s="72"/>
      <c r="N4" s="72"/>
      <c r="O4" s="72"/>
    </row>
    <row r="5" spans="1:16" ht="23" customHeight="1" x14ac:dyDescent="0.2">
      <c r="B5" s="5" t="s">
        <v>3</v>
      </c>
      <c r="C5" s="72"/>
      <c r="D5" s="72"/>
      <c r="E5" s="72"/>
      <c r="F5" s="72"/>
      <c r="G5" s="72"/>
      <c r="H5" s="70" t="s">
        <v>4</v>
      </c>
      <c r="I5" s="72"/>
      <c r="J5" s="72"/>
      <c r="K5" s="72"/>
      <c r="M5" s="73" t="s">
        <v>5</v>
      </c>
      <c r="N5" s="98"/>
      <c r="O5" s="99"/>
      <c r="P5" s="100"/>
    </row>
    <row r="6" spans="1:16" ht="34" customHeight="1" thickBot="1" x14ac:dyDescent="0.25">
      <c r="B6" s="72">
        <v>1</v>
      </c>
      <c r="C6" s="93" t="s">
        <v>6</v>
      </c>
      <c r="D6" s="93"/>
      <c r="E6" s="93"/>
      <c r="F6" s="93"/>
      <c r="G6" s="93"/>
      <c r="H6" s="93"/>
      <c r="I6" s="72"/>
      <c r="J6" s="74"/>
      <c r="L6" s="9" t="s">
        <v>7</v>
      </c>
      <c r="M6" s="9" t="s">
        <v>8</v>
      </c>
      <c r="N6" s="67" t="s">
        <v>9</v>
      </c>
      <c r="O6" s="67" t="s">
        <v>10</v>
      </c>
      <c r="P6" s="77" t="s">
        <v>11</v>
      </c>
    </row>
    <row r="7" spans="1:16" ht="18" customHeight="1" x14ac:dyDescent="0.2">
      <c r="B7" s="72"/>
      <c r="C7" t="s">
        <v>12</v>
      </c>
      <c r="I7" s="72"/>
      <c r="J7" s="74"/>
      <c r="L7" s="30">
        <v>1</v>
      </c>
      <c r="M7" s="30">
        <v>10</v>
      </c>
      <c r="N7" s="31">
        <f>+'Pace Tracker'!D50+'Pace Tracker'!D33+'Pace Tracker'!D16</f>
        <v>14.5</v>
      </c>
      <c r="O7" s="86"/>
      <c r="P7" s="91"/>
    </row>
    <row r="8" spans="1:16" ht="18" customHeight="1" x14ac:dyDescent="0.2">
      <c r="B8" s="72"/>
      <c r="C8" t="s">
        <v>13</v>
      </c>
      <c r="I8" s="72"/>
      <c r="J8" s="74"/>
      <c r="L8" s="30">
        <v>2</v>
      </c>
      <c r="M8" s="30">
        <v>2</v>
      </c>
      <c r="N8" s="31">
        <f>+'Pace Tracker'!D51+'Pace Tracker'!D34+'Pace Tracker'!D17</f>
        <v>16.100000000000001</v>
      </c>
      <c r="O8" s="87"/>
      <c r="P8" s="91"/>
    </row>
    <row r="9" spans="1:16" ht="18" customHeight="1" x14ac:dyDescent="0.2">
      <c r="B9" s="72">
        <v>2</v>
      </c>
      <c r="C9" s="94" t="s">
        <v>14</v>
      </c>
      <c r="D9" s="94"/>
      <c r="E9" s="94"/>
      <c r="F9" s="94"/>
      <c r="G9" s="94"/>
      <c r="H9" s="94"/>
      <c r="I9" s="72"/>
      <c r="J9" s="74"/>
      <c r="L9" s="30">
        <v>3</v>
      </c>
      <c r="M9" s="30">
        <v>5</v>
      </c>
      <c r="N9" s="31">
        <f>+'Pace Tracker'!D52+'Pace Tracker'!D35+'Pace Tracker'!D18</f>
        <v>14.9</v>
      </c>
      <c r="O9" s="87"/>
      <c r="P9" s="91"/>
    </row>
    <row r="10" spans="1:16" ht="18" customHeight="1" x14ac:dyDescent="0.2">
      <c r="B10" s="72"/>
      <c r="C10" t="s">
        <v>15</v>
      </c>
      <c r="I10" s="72"/>
      <c r="J10" s="74"/>
      <c r="L10" s="30">
        <v>4</v>
      </c>
      <c r="M10" s="30">
        <v>4</v>
      </c>
      <c r="N10" s="31">
        <f>+'Pace Tracker'!D53+'Pace Tracker'!D36+'Pace Tracker'!D19</f>
        <v>16.2</v>
      </c>
      <c r="O10" s="87"/>
      <c r="P10" s="91"/>
    </row>
    <row r="11" spans="1:16" ht="27.75" customHeight="1" x14ac:dyDescent="0.2">
      <c r="B11" s="72">
        <v>3</v>
      </c>
      <c r="C11" s="94" t="s">
        <v>16</v>
      </c>
      <c r="D11" s="94"/>
      <c r="E11" s="94"/>
      <c r="F11" s="94"/>
      <c r="G11" s="94"/>
      <c r="H11" s="94"/>
      <c r="I11" s="72"/>
      <c r="J11" s="74"/>
      <c r="L11" s="30">
        <v>5</v>
      </c>
      <c r="M11" s="30">
        <v>9</v>
      </c>
      <c r="N11" s="31">
        <f>+'Pace Tracker'!D54+'Pace Tracker'!D37+'Pace Tracker'!D20</f>
        <v>12.299999999999999</v>
      </c>
      <c r="O11" s="87"/>
      <c r="P11" s="91"/>
    </row>
    <row r="12" spans="1:16" ht="18" customHeight="1" x14ac:dyDescent="0.2">
      <c r="B12" s="72"/>
      <c r="C12" t="s">
        <v>17</v>
      </c>
      <c r="F12" s="72"/>
      <c r="H12" s="72"/>
      <c r="I12" s="72"/>
      <c r="J12" s="74"/>
      <c r="L12" s="30">
        <v>6</v>
      </c>
      <c r="M12" s="30">
        <v>12</v>
      </c>
      <c r="N12" s="31">
        <f>+'Pace Tracker'!D55+'Pace Tracker'!D38+'Pace Tracker'!D21</f>
        <v>13.4</v>
      </c>
      <c r="O12" s="87"/>
      <c r="P12" s="91"/>
    </row>
    <row r="13" spans="1:16" ht="18" customHeight="1" x14ac:dyDescent="0.2">
      <c r="B13" s="72"/>
      <c r="C13" t="s">
        <v>18</v>
      </c>
      <c r="F13" s="72"/>
      <c r="H13" s="72"/>
      <c r="I13" s="72"/>
      <c r="J13" s="74"/>
      <c r="L13" s="29"/>
      <c r="M13" s="29"/>
      <c r="N13" s="19">
        <f>SUM(N7:N12)</f>
        <v>87.4</v>
      </c>
      <c r="O13" s="88" t="s">
        <v>19</v>
      </c>
      <c r="P13" s="89">
        <v>60</v>
      </c>
    </row>
    <row r="14" spans="1:16" ht="18" customHeight="1" x14ac:dyDescent="0.2">
      <c r="B14" s="72">
        <v>4</v>
      </c>
      <c r="C14" t="s">
        <v>20</v>
      </c>
      <c r="D14" s="75"/>
      <c r="E14" s="75"/>
      <c r="F14" s="72"/>
      <c r="H14" s="72"/>
      <c r="I14" s="72"/>
      <c r="J14" s="74"/>
      <c r="L14" s="30">
        <v>7</v>
      </c>
      <c r="M14" s="30">
        <v>1</v>
      </c>
      <c r="N14" s="31">
        <f>+'Pace Tracker'!D57+'Pace Tracker'!D40+'Pace Tracker'!D23</f>
        <v>13.8</v>
      </c>
      <c r="O14" s="87"/>
      <c r="P14" s="91"/>
    </row>
    <row r="15" spans="1:16" ht="18" customHeight="1" x14ac:dyDescent="0.2">
      <c r="B15" s="72"/>
      <c r="C15" s="97" t="s">
        <v>21</v>
      </c>
      <c r="D15" s="97"/>
      <c r="E15" s="97"/>
      <c r="F15" s="97"/>
      <c r="G15" s="97"/>
      <c r="H15" s="97"/>
      <c r="I15" s="72"/>
      <c r="J15" s="74"/>
      <c r="K15" s="72"/>
      <c r="L15" s="30">
        <v>8</v>
      </c>
      <c r="M15" s="30">
        <v>8</v>
      </c>
      <c r="N15" s="31">
        <f>+'Pace Tracker'!D58+'Pace Tracker'!D41+'Pace Tracker'!D24</f>
        <v>10.8</v>
      </c>
      <c r="O15" s="87"/>
      <c r="P15" s="91"/>
    </row>
    <row r="16" spans="1:16" ht="18" customHeight="1" x14ac:dyDescent="0.2">
      <c r="B16" s="72">
        <v>5</v>
      </c>
      <c r="C16" s="72" t="s">
        <v>22</v>
      </c>
      <c r="D16" s="72"/>
      <c r="E16" s="72"/>
      <c r="F16" s="72"/>
      <c r="H16" s="72"/>
      <c r="I16" s="72"/>
      <c r="J16" s="74"/>
      <c r="K16" s="72"/>
      <c r="L16" s="30">
        <v>9</v>
      </c>
      <c r="M16" s="30">
        <v>6</v>
      </c>
      <c r="N16" s="31">
        <f>+'Pace Tracker'!D59+'Pace Tracker'!D42+'Pace Tracker'!D25</f>
        <v>15.600000000000001</v>
      </c>
      <c r="O16" s="87"/>
      <c r="P16" s="91"/>
    </row>
    <row r="17" spans="2:16" ht="18" customHeight="1" x14ac:dyDescent="0.2">
      <c r="B17" s="72"/>
      <c r="C17" s="97" t="s">
        <v>23</v>
      </c>
      <c r="D17" s="97"/>
      <c r="E17" s="97"/>
      <c r="F17" s="97"/>
      <c r="G17" s="97"/>
      <c r="H17" s="97"/>
      <c r="I17" s="72"/>
      <c r="J17" s="74"/>
      <c r="K17" s="72"/>
      <c r="L17" s="30">
        <v>10</v>
      </c>
      <c r="M17" s="30">
        <v>7</v>
      </c>
      <c r="N17" s="31">
        <f>+'Pace Tracker'!D60+'Pace Tracker'!D43+'Pace Tracker'!D26</f>
        <v>15.600000000000001</v>
      </c>
      <c r="O17" s="87"/>
      <c r="P17" s="91"/>
    </row>
    <row r="18" spans="2:16" ht="18" customHeight="1" x14ac:dyDescent="0.2">
      <c r="B18" s="72">
        <v>6</v>
      </c>
      <c r="C18" s="66" t="s">
        <v>24</v>
      </c>
      <c r="D18" s="72"/>
      <c r="E18" s="72"/>
      <c r="F18" s="72"/>
      <c r="H18" s="72"/>
      <c r="I18" s="72"/>
      <c r="J18" s="74"/>
      <c r="K18" s="72"/>
      <c r="L18" s="30">
        <v>11</v>
      </c>
      <c r="M18" s="30">
        <v>3</v>
      </c>
      <c r="N18" s="31">
        <f>+'Pace Tracker'!D61+'Pace Tracker'!D44+'Pace Tracker'!D27</f>
        <v>18.2</v>
      </c>
      <c r="O18" s="87"/>
      <c r="P18" s="91"/>
    </row>
    <row r="19" spans="2:16" ht="18" customHeight="1" x14ac:dyDescent="0.2">
      <c r="I19" s="72"/>
      <c r="J19" s="74"/>
      <c r="K19" s="72"/>
      <c r="L19" s="30">
        <v>12</v>
      </c>
      <c r="M19" s="30">
        <v>11</v>
      </c>
      <c r="N19" s="31">
        <f>+'Pace Tracker'!D62+'Pace Tracker'!D45+'Pace Tracker'!D28</f>
        <v>13.600000000000001</v>
      </c>
      <c r="O19" s="87"/>
      <c r="P19" s="91"/>
    </row>
    <row r="20" spans="2:16" ht="18" customHeight="1" x14ac:dyDescent="0.2">
      <c r="B20" s="5" t="s">
        <v>25</v>
      </c>
      <c r="D20" s="72"/>
      <c r="E20" s="72"/>
      <c r="F20" s="72"/>
      <c r="I20" s="72"/>
      <c r="J20" s="74"/>
      <c r="K20" s="72"/>
      <c r="L20" s="29"/>
      <c r="M20" s="29"/>
      <c r="N20" s="19">
        <f>SUM(N14:N19)</f>
        <v>87.6</v>
      </c>
      <c r="O20" s="19"/>
      <c r="P20" s="19"/>
    </row>
    <row r="21" spans="2:16" ht="20" customHeight="1" x14ac:dyDescent="0.2">
      <c r="B21" s="72">
        <v>7</v>
      </c>
      <c r="C21" s="72" t="s">
        <v>26</v>
      </c>
      <c r="D21" s="72"/>
      <c r="E21" s="72"/>
      <c r="F21" s="72"/>
      <c r="I21" s="72"/>
      <c r="J21" s="74"/>
      <c r="K21" s="72"/>
      <c r="O21" s="72"/>
      <c r="P21" s="72"/>
    </row>
    <row r="22" spans="2:16" ht="20" customHeight="1" x14ac:dyDescent="0.2">
      <c r="B22" s="72"/>
      <c r="C22" s="72" t="s">
        <v>27</v>
      </c>
      <c r="D22" s="72"/>
      <c r="E22" s="72"/>
      <c r="F22" s="72"/>
      <c r="I22" s="72"/>
      <c r="J22" s="74"/>
      <c r="K22" s="95" t="s">
        <v>28</v>
      </c>
      <c r="L22" s="95"/>
      <c r="M22" s="95"/>
      <c r="N22" s="95"/>
      <c r="O22" s="96"/>
      <c r="P22" s="63">
        <f>'Pace Tracker'!$H$62/1440</f>
        <v>0</v>
      </c>
    </row>
    <row r="23" spans="2:16" ht="20" customHeight="1" x14ac:dyDescent="0.2">
      <c r="B23" s="72"/>
      <c r="C23" s="72" t="s">
        <v>29</v>
      </c>
      <c r="D23" s="72"/>
      <c r="E23" s="72"/>
      <c r="F23" s="72"/>
      <c r="I23" s="72"/>
      <c r="J23" s="74"/>
      <c r="K23" s="72"/>
    </row>
    <row r="24" spans="2:16" ht="20" customHeight="1" x14ac:dyDescent="0.2">
      <c r="B24" s="72">
        <v>8</v>
      </c>
      <c r="C24" s="72" t="s">
        <v>30</v>
      </c>
      <c r="D24" s="72"/>
      <c r="E24" s="72"/>
      <c r="F24" s="72"/>
      <c r="I24" s="72"/>
      <c r="J24" s="74"/>
      <c r="K24" s="93" t="s">
        <v>31</v>
      </c>
      <c r="L24" s="94"/>
      <c r="M24" s="94"/>
      <c r="N24" s="94"/>
      <c r="O24" s="94"/>
      <c r="P24" s="58" t="s">
        <v>32</v>
      </c>
    </row>
    <row r="25" spans="2:16" ht="20" customHeight="1" x14ac:dyDescent="0.2">
      <c r="B25" s="72"/>
      <c r="C25" s="72" t="s">
        <v>33</v>
      </c>
      <c r="D25" s="72"/>
      <c r="E25" s="72"/>
      <c r="F25" s="72"/>
      <c r="I25" s="72"/>
      <c r="J25" s="74"/>
      <c r="K25" s="94"/>
      <c r="L25" s="94"/>
      <c r="M25" s="94"/>
      <c r="N25" s="94"/>
      <c r="O25" s="94"/>
    </row>
    <row r="26" spans="2:16" ht="20" customHeight="1" x14ac:dyDescent="0.2">
      <c r="B26" s="72">
        <v>9</v>
      </c>
      <c r="C26" t="s">
        <v>34</v>
      </c>
      <c r="D26" s="72"/>
      <c r="E26" s="72"/>
      <c r="F26" s="72"/>
      <c r="I26" s="72"/>
      <c r="J26" s="74"/>
      <c r="K26" s="72"/>
    </row>
    <row r="27" spans="2:16" ht="20" customHeight="1" x14ac:dyDescent="0.2">
      <c r="B27" s="72"/>
      <c r="C27" t="s">
        <v>35</v>
      </c>
      <c r="D27" s="72"/>
      <c r="E27" s="72"/>
      <c r="F27" s="72"/>
      <c r="I27" s="72"/>
      <c r="J27" s="74"/>
      <c r="K27" s="72"/>
    </row>
    <row r="28" spans="2:16" ht="16" x14ac:dyDescent="0.2">
      <c r="J28" s="72"/>
      <c r="K28" s="72"/>
    </row>
    <row r="29" spans="2:16" ht="16" x14ac:dyDescent="0.2">
      <c r="J29" s="72"/>
      <c r="K29" s="72"/>
    </row>
    <row r="30" spans="2:16" ht="12" customHeight="1" x14ac:dyDescent="0.2">
      <c r="J30" s="72"/>
      <c r="K30" s="72"/>
    </row>
    <row r="31" spans="2:16" ht="16" x14ac:dyDescent="0.2">
      <c r="J31" s="72"/>
      <c r="K31" s="72"/>
    </row>
    <row r="32" spans="2:16" ht="16" x14ac:dyDescent="0.2">
      <c r="J32" s="72"/>
      <c r="K32" s="72"/>
    </row>
    <row r="33" spans="2:15" ht="16" x14ac:dyDescent="0.2">
      <c r="J33" s="72"/>
      <c r="K33" s="72"/>
      <c r="L33" s="72"/>
      <c r="M33" s="72"/>
      <c r="N33" s="72"/>
      <c r="O33" s="72"/>
    </row>
    <row r="34" spans="2:15" ht="12" customHeight="1" x14ac:dyDescent="0.2">
      <c r="J34" s="72"/>
      <c r="K34" s="72"/>
      <c r="L34" s="72"/>
      <c r="M34" s="72"/>
      <c r="N34" s="72"/>
      <c r="O34" s="72"/>
    </row>
    <row r="35" spans="2:15" ht="16" x14ac:dyDescent="0.2">
      <c r="J35" s="72"/>
      <c r="K35" s="72"/>
      <c r="L35" s="72"/>
      <c r="M35" s="72"/>
      <c r="N35" s="72"/>
      <c r="O35" s="72"/>
    </row>
    <row r="36" spans="2:15" ht="12" customHeight="1" x14ac:dyDescent="0.2">
      <c r="J36" s="72"/>
      <c r="K36" s="72"/>
      <c r="L36" s="72"/>
      <c r="M36" s="72"/>
      <c r="N36" s="72"/>
      <c r="O36" s="72"/>
    </row>
    <row r="37" spans="2:15" ht="16" x14ac:dyDescent="0.2">
      <c r="B37" s="72"/>
      <c r="I37" s="72"/>
      <c r="J37" s="72"/>
      <c r="K37" s="72"/>
      <c r="L37" s="72"/>
      <c r="M37" s="72"/>
      <c r="N37" s="72"/>
      <c r="O37" s="72"/>
    </row>
    <row r="38" spans="2:15" ht="16" x14ac:dyDescent="0.2">
      <c r="B38" s="72"/>
      <c r="I38" s="72"/>
      <c r="J38" s="72"/>
      <c r="K38" s="72"/>
      <c r="L38" s="72"/>
      <c r="M38" s="72"/>
      <c r="N38" s="72"/>
      <c r="O38" s="72"/>
    </row>
    <row r="39" spans="2:15" ht="12" customHeight="1" x14ac:dyDescent="0.2">
      <c r="B39" s="72"/>
      <c r="I39" s="72"/>
      <c r="J39" s="72"/>
      <c r="K39" s="72"/>
      <c r="L39" s="72"/>
      <c r="M39" s="72"/>
      <c r="N39" s="72"/>
      <c r="O39" s="72"/>
    </row>
    <row r="40" spans="2:15" ht="16" x14ac:dyDescent="0.2">
      <c r="B40" s="72"/>
      <c r="I40" s="72"/>
      <c r="J40" s="72"/>
      <c r="K40" s="72"/>
      <c r="L40" s="72"/>
      <c r="M40" s="72"/>
      <c r="N40" s="72"/>
      <c r="O40" s="72"/>
    </row>
    <row r="41" spans="2:15" ht="16" x14ac:dyDescent="0.2">
      <c r="B41" s="72"/>
      <c r="I41" s="72"/>
      <c r="J41" s="72"/>
      <c r="K41" s="72"/>
      <c r="L41" s="72"/>
      <c r="M41" s="72"/>
      <c r="N41" s="72"/>
      <c r="O41" s="72"/>
    </row>
    <row r="42" spans="2:15" ht="12" customHeight="1" x14ac:dyDescent="0.2">
      <c r="B42" s="72"/>
      <c r="I42" s="72"/>
      <c r="J42" s="72"/>
      <c r="K42" s="72"/>
      <c r="L42" s="72"/>
      <c r="M42" s="72"/>
      <c r="N42" s="72"/>
      <c r="O42" s="72"/>
    </row>
    <row r="43" spans="2:15" ht="16" x14ac:dyDescent="0.2">
      <c r="B43" s="72"/>
      <c r="I43" s="72"/>
      <c r="J43" s="72"/>
      <c r="K43" s="72"/>
      <c r="L43" s="72"/>
      <c r="M43" s="72"/>
      <c r="N43" s="72"/>
      <c r="O43" s="72"/>
    </row>
    <row r="44" spans="2:15" ht="16" x14ac:dyDescent="0.2">
      <c r="B44" s="72"/>
      <c r="C44" s="72"/>
      <c r="D44" s="72"/>
      <c r="E44" s="72"/>
      <c r="F44" s="72"/>
      <c r="G44" s="72"/>
      <c r="H44" s="72"/>
      <c r="I44" s="72"/>
      <c r="J44" s="72"/>
      <c r="K44" s="72"/>
      <c r="L44" s="72"/>
      <c r="M44" s="72"/>
      <c r="N44" s="72"/>
      <c r="O44" s="72"/>
    </row>
    <row r="45" spans="2:15" ht="16" x14ac:dyDescent="0.2">
      <c r="B45" s="72"/>
      <c r="C45" s="72"/>
      <c r="D45" s="72"/>
      <c r="E45" s="72"/>
      <c r="F45" s="72"/>
      <c r="G45" s="72"/>
      <c r="H45" s="72"/>
      <c r="I45" s="72"/>
      <c r="J45" s="72"/>
      <c r="K45" s="72"/>
      <c r="L45" s="72"/>
      <c r="M45" s="72"/>
      <c r="N45" s="72"/>
      <c r="O45" s="72"/>
    </row>
    <row r="46" spans="2:15" ht="16" x14ac:dyDescent="0.2">
      <c r="B46" s="72"/>
      <c r="C46" s="72"/>
      <c r="D46" s="72"/>
      <c r="E46" s="72"/>
      <c r="F46" s="72"/>
      <c r="G46" s="72"/>
      <c r="H46" s="72"/>
      <c r="I46" s="72"/>
      <c r="J46" s="72"/>
      <c r="K46" s="72"/>
      <c r="L46" s="72"/>
      <c r="M46" s="72"/>
      <c r="N46" s="72"/>
      <c r="O46" s="72"/>
    </row>
    <row r="47" spans="2:15" ht="16" x14ac:dyDescent="0.2">
      <c r="B47" s="72"/>
      <c r="C47" s="72"/>
      <c r="D47" s="72"/>
      <c r="E47" s="72"/>
      <c r="F47" s="72"/>
      <c r="G47" s="72"/>
      <c r="H47" s="72"/>
      <c r="I47" s="72"/>
      <c r="J47" s="72"/>
      <c r="K47" s="72"/>
      <c r="L47" s="72"/>
      <c r="M47" s="72"/>
      <c r="N47" s="72"/>
      <c r="O47" s="72"/>
    </row>
    <row r="48" spans="2:15" ht="16" x14ac:dyDescent="0.2">
      <c r="B48" s="72"/>
      <c r="C48" s="72"/>
      <c r="D48" s="72"/>
      <c r="E48" s="72"/>
      <c r="F48" s="72"/>
      <c r="G48" s="72"/>
      <c r="H48" s="72"/>
      <c r="I48" s="72"/>
      <c r="J48" s="72"/>
      <c r="K48" s="72"/>
      <c r="L48" s="72"/>
      <c r="M48" s="72"/>
      <c r="N48" s="72"/>
      <c r="O48" s="72"/>
    </row>
    <row r="49" spans="2:15" ht="16" x14ac:dyDescent="0.2">
      <c r="B49" s="72"/>
      <c r="C49" s="72"/>
      <c r="D49" s="72"/>
      <c r="E49" s="72"/>
      <c r="F49" s="72"/>
      <c r="G49" s="72"/>
      <c r="H49" s="72"/>
      <c r="I49" s="72"/>
      <c r="J49" s="72"/>
      <c r="K49" s="72"/>
      <c r="L49" s="72"/>
      <c r="M49" s="72"/>
      <c r="N49" s="72"/>
      <c r="O49" s="72"/>
    </row>
    <row r="50" spans="2:15" ht="16" x14ac:dyDescent="0.2">
      <c r="B50" s="72"/>
      <c r="C50" s="72"/>
      <c r="D50" s="72"/>
      <c r="E50" s="72"/>
      <c r="F50" s="72"/>
      <c r="G50" s="72"/>
      <c r="H50" s="72"/>
      <c r="I50" s="72"/>
      <c r="J50" s="72"/>
      <c r="K50" s="72"/>
      <c r="L50" s="72"/>
      <c r="M50" s="72"/>
      <c r="N50" s="72"/>
      <c r="O50" s="72"/>
    </row>
    <row r="51" spans="2:15" ht="16" x14ac:dyDescent="0.2">
      <c r="B51" s="72"/>
      <c r="C51" s="72"/>
      <c r="D51" s="72"/>
      <c r="E51" s="72"/>
      <c r="F51" s="72"/>
      <c r="G51" s="72"/>
      <c r="H51" s="72"/>
      <c r="I51" s="72"/>
      <c r="J51" s="72"/>
      <c r="K51" s="72"/>
      <c r="L51" s="72"/>
      <c r="M51" s="72"/>
      <c r="N51" s="72"/>
      <c r="O51" s="72"/>
    </row>
    <row r="52" spans="2:15" ht="16" x14ac:dyDescent="0.2">
      <c r="B52" s="72"/>
      <c r="C52" s="72"/>
      <c r="D52" s="72"/>
      <c r="E52" s="72"/>
      <c r="F52" s="72"/>
      <c r="G52" s="72"/>
      <c r="H52" s="72"/>
      <c r="I52" s="72"/>
      <c r="J52" s="72"/>
      <c r="K52" s="72"/>
      <c r="L52" s="72"/>
      <c r="M52" s="72"/>
      <c r="N52" s="72"/>
      <c r="O52" s="72"/>
    </row>
    <row r="53" spans="2:15" ht="16" x14ac:dyDescent="0.2">
      <c r="B53" s="72"/>
      <c r="C53" s="72"/>
      <c r="D53" s="72"/>
      <c r="E53" s="72"/>
      <c r="F53" s="72"/>
      <c r="G53" s="72"/>
      <c r="H53" s="72"/>
      <c r="I53" s="72"/>
      <c r="J53" s="72"/>
      <c r="K53" s="72"/>
      <c r="L53" s="72"/>
      <c r="M53" s="72"/>
      <c r="N53" s="72"/>
      <c r="O53" s="72"/>
    </row>
    <row r="54" spans="2:15" ht="16" x14ac:dyDescent="0.2">
      <c r="B54" s="72"/>
      <c r="C54" s="72"/>
      <c r="D54" s="72"/>
      <c r="E54" s="72"/>
      <c r="F54" s="72"/>
      <c r="G54" s="72"/>
      <c r="H54" s="72"/>
      <c r="I54" s="72"/>
      <c r="J54" s="72"/>
      <c r="K54" s="72"/>
      <c r="L54" s="72"/>
      <c r="M54" s="72"/>
      <c r="N54" s="72"/>
      <c r="O54" s="72"/>
    </row>
    <row r="55" spans="2:15" ht="16" x14ac:dyDescent="0.2">
      <c r="B55" s="72"/>
      <c r="C55" s="72"/>
      <c r="D55" s="72"/>
      <c r="E55" s="72"/>
      <c r="F55" s="72"/>
      <c r="G55" s="72"/>
      <c r="H55" s="72"/>
      <c r="I55" s="72"/>
      <c r="J55" s="72"/>
      <c r="K55" s="72"/>
      <c r="L55" s="72"/>
      <c r="M55" s="72"/>
      <c r="N55" s="72"/>
      <c r="O55" s="72"/>
    </row>
    <row r="56" spans="2:15" ht="16" x14ac:dyDescent="0.2">
      <c r="B56" s="72"/>
      <c r="C56" s="72"/>
      <c r="D56" s="72"/>
      <c r="E56" s="72"/>
      <c r="F56" s="72"/>
      <c r="G56" s="72"/>
      <c r="H56" s="72"/>
      <c r="I56" s="72"/>
      <c r="J56" s="72"/>
      <c r="K56" s="72"/>
      <c r="L56" s="72"/>
      <c r="M56" s="72"/>
      <c r="N56" s="72"/>
      <c r="O56" s="72"/>
    </row>
    <row r="57" spans="2:15" ht="16" x14ac:dyDescent="0.2">
      <c r="B57" s="72"/>
      <c r="C57" s="72"/>
      <c r="D57" s="72"/>
      <c r="E57" s="72"/>
      <c r="F57" s="72"/>
      <c r="G57" s="72"/>
      <c r="H57" s="72"/>
      <c r="I57" s="72"/>
      <c r="J57" s="72"/>
      <c r="K57" s="72"/>
    </row>
    <row r="58" spans="2:15" ht="16" x14ac:dyDescent="0.2">
      <c r="B58" s="72"/>
      <c r="C58" s="72"/>
      <c r="D58" s="72"/>
      <c r="E58" s="72"/>
      <c r="F58" s="72"/>
      <c r="G58" s="72"/>
      <c r="H58" s="72"/>
      <c r="I58" s="72"/>
      <c r="J58" s="72"/>
      <c r="K58" s="72"/>
    </row>
    <row r="59" spans="2:15" ht="16" x14ac:dyDescent="0.2">
      <c r="B59" s="72"/>
      <c r="C59" s="72"/>
      <c r="D59" s="72"/>
      <c r="E59" s="72"/>
      <c r="F59" s="72"/>
      <c r="G59" s="72"/>
      <c r="H59" s="72"/>
      <c r="I59" s="72"/>
      <c r="J59" s="72"/>
      <c r="K59" s="72"/>
    </row>
    <row r="60" spans="2:15" ht="16" x14ac:dyDescent="0.2">
      <c r="B60" s="72"/>
      <c r="C60" s="72"/>
      <c r="D60" s="72"/>
      <c r="E60" s="72"/>
      <c r="F60" s="72"/>
      <c r="G60" s="72"/>
      <c r="H60" s="72"/>
      <c r="I60" s="72"/>
      <c r="J60" s="72"/>
      <c r="K60" s="72"/>
    </row>
    <row r="61" spans="2:15" ht="16" x14ac:dyDescent="0.2">
      <c r="B61" s="72"/>
      <c r="C61" s="72"/>
      <c r="D61" s="72"/>
      <c r="E61" s="72"/>
      <c r="F61" s="72"/>
      <c r="G61" s="72"/>
      <c r="H61" s="72"/>
      <c r="I61" s="72"/>
      <c r="J61" s="72"/>
      <c r="K61" s="72"/>
    </row>
    <row r="62" spans="2:15" ht="16" x14ac:dyDescent="0.2">
      <c r="B62" s="72"/>
      <c r="C62" s="72"/>
      <c r="D62" s="72"/>
      <c r="E62" s="72"/>
      <c r="F62" s="72"/>
      <c r="G62" s="72"/>
      <c r="H62" s="72"/>
      <c r="I62" s="72"/>
      <c r="J62" s="72"/>
      <c r="K62" s="72"/>
    </row>
    <row r="63" spans="2:15" ht="16" x14ac:dyDescent="0.2">
      <c r="B63" s="72"/>
      <c r="C63" s="72"/>
      <c r="D63" s="72"/>
      <c r="E63" s="72"/>
      <c r="F63" s="72"/>
      <c r="G63" s="72"/>
      <c r="H63" s="72"/>
      <c r="I63" s="72"/>
      <c r="J63" s="72"/>
      <c r="K63" s="72"/>
    </row>
    <row r="64" spans="2:15" ht="16" x14ac:dyDescent="0.2">
      <c r="B64" s="72"/>
      <c r="C64" s="72"/>
      <c r="D64" s="72"/>
      <c r="E64" s="72"/>
      <c r="F64" s="72"/>
      <c r="G64" s="72"/>
      <c r="H64" s="72"/>
      <c r="I64" s="72"/>
      <c r="J64" s="72"/>
      <c r="K64" s="72"/>
    </row>
    <row r="65" spans="2:11" ht="16" x14ac:dyDescent="0.2">
      <c r="B65" s="72"/>
      <c r="C65" s="72"/>
      <c r="D65" s="72"/>
      <c r="E65" s="72"/>
      <c r="F65" s="72"/>
      <c r="G65" s="72"/>
      <c r="H65" s="72"/>
      <c r="I65" s="72"/>
      <c r="J65" s="72"/>
      <c r="K65" s="72"/>
    </row>
    <row r="66" spans="2:11" ht="16" x14ac:dyDescent="0.2">
      <c r="B66" s="72"/>
      <c r="C66" s="72"/>
      <c r="D66" s="72"/>
      <c r="E66" s="72"/>
      <c r="F66" s="72"/>
      <c r="G66" s="72"/>
      <c r="H66" s="72"/>
      <c r="I66" s="72"/>
      <c r="J66" s="72"/>
      <c r="K66" s="72"/>
    </row>
    <row r="67" spans="2:11" ht="16" x14ac:dyDescent="0.2">
      <c r="B67" s="72"/>
      <c r="C67" s="72"/>
      <c r="D67" s="72"/>
      <c r="E67" s="72"/>
      <c r="F67" s="72"/>
      <c r="G67" s="72"/>
      <c r="H67" s="72"/>
      <c r="I67" s="72"/>
      <c r="J67" s="72"/>
      <c r="K67" s="72"/>
    </row>
    <row r="68" spans="2:11" ht="16" x14ac:dyDescent="0.2">
      <c r="B68" s="72"/>
      <c r="C68" s="72"/>
      <c r="D68" s="72"/>
      <c r="E68" s="72"/>
      <c r="F68" s="72"/>
      <c r="G68" s="72"/>
      <c r="H68" s="72"/>
      <c r="I68" s="72"/>
      <c r="J68" s="72"/>
      <c r="K68" s="72"/>
    </row>
    <row r="69" spans="2:11" ht="16" x14ac:dyDescent="0.2">
      <c r="B69" s="72"/>
      <c r="C69" s="72"/>
      <c r="D69" s="72"/>
      <c r="E69" s="72"/>
      <c r="F69" s="72"/>
      <c r="G69" s="72"/>
      <c r="H69" s="72"/>
      <c r="I69" s="72"/>
      <c r="J69" s="72"/>
      <c r="K69" s="72"/>
    </row>
    <row r="70" spans="2:11" ht="16" x14ac:dyDescent="0.2">
      <c r="B70" s="72"/>
      <c r="C70" s="72"/>
      <c r="D70" s="72"/>
      <c r="E70" s="72"/>
      <c r="F70" s="72"/>
      <c r="G70" s="72"/>
      <c r="H70" s="72"/>
      <c r="I70" s="72"/>
      <c r="J70" s="72"/>
      <c r="K70" s="72"/>
    </row>
    <row r="71" spans="2:11" ht="16" x14ac:dyDescent="0.2">
      <c r="B71" s="72"/>
      <c r="C71" s="72"/>
      <c r="D71" s="72"/>
      <c r="E71" s="72"/>
      <c r="F71" s="72"/>
      <c r="G71" s="72"/>
      <c r="H71" s="72"/>
      <c r="I71" s="72"/>
      <c r="J71" s="72"/>
      <c r="K71" s="72"/>
    </row>
    <row r="72" spans="2:11" ht="16" x14ac:dyDescent="0.2">
      <c r="B72" s="72"/>
      <c r="C72" s="72"/>
      <c r="D72" s="72"/>
      <c r="E72" s="72"/>
      <c r="F72" s="72"/>
      <c r="G72" s="72"/>
      <c r="H72" s="72"/>
      <c r="I72" s="72"/>
      <c r="J72" s="72"/>
      <c r="K72" s="72"/>
    </row>
    <row r="73" spans="2:11" ht="16" x14ac:dyDescent="0.2">
      <c r="B73" s="72"/>
      <c r="C73" s="72"/>
      <c r="D73" s="72"/>
      <c r="E73" s="72"/>
      <c r="F73" s="72"/>
      <c r="G73" s="72"/>
      <c r="H73" s="72"/>
      <c r="I73" s="72"/>
      <c r="J73" s="72"/>
      <c r="K73" s="72"/>
    </row>
    <row r="74" spans="2:11" ht="16" x14ac:dyDescent="0.2">
      <c r="B74" s="72"/>
      <c r="C74" s="72"/>
      <c r="I74" s="72"/>
      <c r="J74" s="72"/>
      <c r="K74" s="72"/>
    </row>
    <row r="75" spans="2:11" ht="16" x14ac:dyDescent="0.2">
      <c r="B75" s="72"/>
      <c r="C75" s="72"/>
      <c r="I75" s="72"/>
      <c r="J75" s="72"/>
      <c r="K75" s="72"/>
    </row>
  </sheetData>
  <mergeCells count="9">
    <mergeCell ref="A1:H1"/>
    <mergeCell ref="C6:H6"/>
    <mergeCell ref="C9:H9"/>
    <mergeCell ref="C11:H11"/>
    <mergeCell ref="K24:O25"/>
    <mergeCell ref="K22:O22"/>
    <mergeCell ref="C15:H15"/>
    <mergeCell ref="C17:H17"/>
    <mergeCell ref="N5:P5"/>
  </mergeCells>
  <hyperlinks>
    <hyperlink ref="P24" location="'Pace Tracker'!I12" display="entered Here" xr:uid="{A5CCAE7B-A318-744C-A035-94139FB65E46}"/>
  </hyperlinks>
  <pageMargins left="0.7" right="0.7" top="0.75" bottom="0.75" header="0.3" footer="0.3"/>
  <pageSetup scale="79" orientation="landscape" horizontalDpi="0" verticalDpi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A67"/>
  <sheetViews>
    <sheetView showGridLines="0" zoomScaleNormal="100" workbookViewId="0">
      <pane xSplit="2" ySplit="13" topLeftCell="C15" activePane="bottomRight" state="frozen"/>
      <selection pane="topRight" activeCell="C1" sqref="C1"/>
      <selection pane="bottomLeft" activeCell="A14" sqref="A14"/>
      <selection pane="bottomRight" activeCell="I12" sqref="I12"/>
    </sheetView>
  </sheetViews>
  <sheetFormatPr baseColWidth="10" defaultColWidth="8.83203125" defaultRowHeight="15" x14ac:dyDescent="0.2"/>
  <cols>
    <col min="1" max="1" width="30.33203125" customWidth="1"/>
    <col min="2" max="2" width="6" customWidth="1"/>
    <col min="3" max="3" width="5.83203125" customWidth="1"/>
    <col min="4" max="4" width="10.1640625" customWidth="1"/>
    <col min="5" max="5" width="10" customWidth="1"/>
    <col min="6" max="6" width="12" customWidth="1"/>
    <col min="7" max="7" width="9.6640625" customWidth="1"/>
    <col min="8" max="8" width="13" customWidth="1"/>
    <col min="9" max="9" width="10" style="1" customWidth="1"/>
    <col min="10" max="10" width="11.5" style="1" customWidth="1"/>
    <col min="11" max="11" width="11.6640625" bestFit="1" customWidth="1"/>
    <col min="12" max="12" width="11.1640625" customWidth="1"/>
    <col min="13" max="13" width="1.1640625" customWidth="1"/>
    <col min="14" max="14" width="31" customWidth="1"/>
    <col min="15" max="16" width="11.5" hidden="1" customWidth="1"/>
    <col min="17" max="17" width="11.5" style="37" hidden="1" customWidth="1"/>
    <col min="18" max="18" width="14" style="27" hidden="1" customWidth="1"/>
    <col min="19" max="19" width="11.6640625" style="32" hidden="1" customWidth="1"/>
    <col min="20" max="20" width="11" style="37" hidden="1" customWidth="1"/>
    <col min="21" max="21" width="8.83203125" style="37" hidden="1" customWidth="1"/>
    <col min="22" max="22" width="13.5" style="37" hidden="1" customWidth="1"/>
    <col min="23" max="23" width="8.83203125" customWidth="1"/>
  </cols>
  <sheetData>
    <row r="1" spans="1:27" x14ac:dyDescent="0.2">
      <c r="N1" s="85">
        <v>46156</v>
      </c>
    </row>
    <row r="2" spans="1:27" x14ac:dyDescent="0.2">
      <c r="D2" s="5" t="s">
        <v>36</v>
      </c>
    </row>
    <row r="3" spans="1:27" x14ac:dyDescent="0.2">
      <c r="D3" s="5" t="s">
        <v>37</v>
      </c>
    </row>
    <row r="4" spans="1:27" ht="4" customHeight="1" x14ac:dyDescent="0.2"/>
    <row r="5" spans="1:27" ht="4" customHeight="1" x14ac:dyDescent="0.2"/>
    <row r="6" spans="1:27" hidden="1" x14ac:dyDescent="0.2"/>
    <row r="7" spans="1:27" ht="14" hidden="1" customHeight="1" x14ac:dyDescent="0.2">
      <c r="P7" t="s">
        <v>38</v>
      </c>
      <c r="Q7" s="34">
        <v>1.6666666666666601</v>
      </c>
    </row>
    <row r="8" spans="1:27" ht="8" hidden="1" customHeight="1" x14ac:dyDescent="0.2">
      <c r="P8" t="s">
        <v>39</v>
      </c>
      <c r="Q8" s="34">
        <f>I62/24</f>
        <v>0</v>
      </c>
    </row>
    <row r="9" spans="1:27" ht="29" customHeight="1" x14ac:dyDescent="0.2">
      <c r="A9" s="81" t="s">
        <v>40</v>
      </c>
      <c r="B9" s="80"/>
      <c r="C9" s="80"/>
      <c r="D9" s="80"/>
      <c r="E9" s="80"/>
      <c r="F9" s="80"/>
      <c r="G9" s="80"/>
      <c r="H9" s="80"/>
      <c r="I9" s="80"/>
      <c r="J9" s="80"/>
      <c r="K9" s="80"/>
      <c r="L9" s="80"/>
      <c r="P9" t="s">
        <v>41</v>
      </c>
      <c r="Q9" s="37">
        <f>Q7-Q8-(2/24)</f>
        <v>1.5833333333333268</v>
      </c>
    </row>
    <row r="10" spans="1:27" x14ac:dyDescent="0.2">
      <c r="A10" s="80" t="s">
        <v>42</v>
      </c>
      <c r="B10" s="80"/>
      <c r="C10" s="80"/>
      <c r="D10" s="80"/>
      <c r="E10" s="80"/>
      <c r="F10" s="80"/>
      <c r="G10" s="80"/>
      <c r="H10" s="80"/>
      <c r="I10" s="80"/>
      <c r="J10" s="80"/>
      <c r="K10" s="83"/>
      <c r="L10" s="83" t="s">
        <v>43</v>
      </c>
    </row>
    <row r="11" spans="1:27" ht="10" customHeight="1" x14ac:dyDescent="0.2">
      <c r="A11" s="4"/>
    </row>
    <row r="12" spans="1:27" ht="14.5" customHeight="1" x14ac:dyDescent="0.2">
      <c r="A12" s="101" t="str">
        <f>IF(ISBLANK(Team_Name),"",Team_Name)</f>
        <v/>
      </c>
      <c r="B12" s="101"/>
      <c r="C12" s="101"/>
      <c r="D12" s="101"/>
      <c r="E12" s="68"/>
      <c r="F12" s="68"/>
      <c r="G12" s="68"/>
      <c r="H12" s="69" t="s">
        <v>44</v>
      </c>
      <c r="I12" s="56"/>
      <c r="J12" s="24"/>
      <c r="K12" s="3"/>
      <c r="V12" s="37" t="s">
        <v>45</v>
      </c>
    </row>
    <row r="13" spans="1:27" ht="33" customHeight="1" thickBot="1" x14ac:dyDescent="0.25">
      <c r="F13" s="28"/>
      <c r="H13" s="47" t="s">
        <v>46</v>
      </c>
      <c r="I13" s="40" t="str">
        <f>IF(ISBLANK(Start_Time),"",I62/24+Start_Time)</f>
        <v/>
      </c>
      <c r="J13" s="2"/>
      <c r="K13" s="47" t="str" cm="1">
        <f t="array" aca="1" ref="K13" ca="1">IFERROR(F(Proj_Finish_Time="","","New Proj. Finish"),"")</f>
        <v/>
      </c>
      <c r="L13" s="52" t="str" cm="1">
        <f t="array" ref="L13">IFERROR(_xlfn.IFS(SUM(L16:L62)=0,"",
ROUND(K62,4)&lt;&gt;ROUND(I13,4),K62,
TRUE,I13),"")</f>
        <v/>
      </c>
      <c r="N13" s="46" t="s">
        <v>47</v>
      </c>
      <c r="O13" s="26" t="s">
        <v>48</v>
      </c>
      <c r="P13" s="26" t="s">
        <v>49</v>
      </c>
      <c r="Q13" s="44" t="s">
        <v>50</v>
      </c>
      <c r="R13" s="43" t="s">
        <v>51</v>
      </c>
      <c r="S13" s="41" t="s">
        <v>52</v>
      </c>
      <c r="T13" s="45" t="s">
        <v>53</v>
      </c>
      <c r="U13" s="45"/>
      <c r="V13" s="45" t="s">
        <v>54</v>
      </c>
    </row>
    <row r="14" spans="1:27" ht="17" customHeight="1" thickBot="1" x14ac:dyDescent="0.25">
      <c r="A14" s="6"/>
      <c r="B14" s="7" t="s">
        <v>55</v>
      </c>
      <c r="C14" s="49" t="s">
        <v>56</v>
      </c>
      <c r="D14" s="50"/>
      <c r="E14" s="50"/>
      <c r="F14" s="50"/>
      <c r="G14" s="50"/>
      <c r="H14" s="50"/>
      <c r="I14" s="50"/>
      <c r="J14" s="50"/>
      <c r="K14" s="50"/>
      <c r="L14" s="51"/>
      <c r="M14" s="8" t="s">
        <v>55</v>
      </c>
      <c r="N14" s="46"/>
    </row>
    <row r="15" spans="1:27" ht="33" customHeight="1" thickBot="1" x14ac:dyDescent="0.25">
      <c r="A15" s="9" t="s">
        <v>57</v>
      </c>
      <c r="B15" s="7" t="s">
        <v>55</v>
      </c>
      <c r="C15" s="9" t="s">
        <v>58</v>
      </c>
      <c r="D15" s="9" t="s">
        <v>59</v>
      </c>
      <c r="E15" s="9" t="s">
        <v>60</v>
      </c>
      <c r="F15" s="9" t="s">
        <v>61</v>
      </c>
      <c r="G15" s="9" t="s">
        <v>62</v>
      </c>
      <c r="H15" s="9" t="s">
        <v>63</v>
      </c>
      <c r="I15" s="10" t="s">
        <v>64</v>
      </c>
      <c r="J15" s="10" t="s">
        <v>65</v>
      </c>
      <c r="K15" s="9" t="s">
        <v>66</v>
      </c>
      <c r="L15" s="9" t="s">
        <v>67</v>
      </c>
      <c r="M15" s="8" t="s">
        <v>55</v>
      </c>
      <c r="N15" s="46"/>
      <c r="Z15" s="65"/>
      <c r="AA15" s="1"/>
    </row>
    <row r="16" spans="1:27" ht="17" thickBot="1" x14ac:dyDescent="0.25">
      <c r="A16" s="71">
        <f>Runner1</f>
        <v>0</v>
      </c>
      <c r="B16" s="11" t="s">
        <v>55</v>
      </c>
      <c r="C16" s="12">
        <v>1</v>
      </c>
      <c r="D16" s="12">
        <v>4.9000000000000004</v>
      </c>
      <c r="E16" s="12" t="s">
        <v>68</v>
      </c>
      <c r="F16" s="59">
        <f>ROUND('Set-up'!P7/10/Km_Mi_Fact,4)</f>
        <v>0</v>
      </c>
      <c r="G16" s="60">
        <f t="shared" ref="G16:G21" si="0">F16*D16</f>
        <v>0</v>
      </c>
      <c r="H16" s="60">
        <f>G16</f>
        <v>0</v>
      </c>
      <c r="I16" s="13">
        <f t="shared" ref="I16:I21" si="1">H16/60</f>
        <v>0</v>
      </c>
      <c r="J16" s="38">
        <f>I12</f>
        <v>0</v>
      </c>
      <c r="K16" s="14">
        <f>J16+O16</f>
        <v>4.8225308641975306E-8</v>
      </c>
      <c r="L16" s="25"/>
      <c r="M16" s="15" t="s">
        <v>55</v>
      </c>
      <c r="N16" s="21"/>
      <c r="O16" s="27">
        <f>IFERROR(VALUE(TEXT(G16,"[h]:mm.m"))/24,0)</f>
        <v>4.8225308641975306E-8</v>
      </c>
      <c r="P16" s="42">
        <f>INT(Q16)</f>
        <v>0</v>
      </c>
      <c r="Q16" s="64">
        <f t="shared" ref="Q16:Q62" si="2">I16/24+$I$12</f>
        <v>0</v>
      </c>
      <c r="R16" s="27">
        <f t="shared" ref="R16:R21" si="3">K16-Start_Time</f>
        <v>4.8225308641975306E-8</v>
      </c>
      <c r="V16" s="37">
        <f t="shared" ref="V16:V28" si="4">IF(L16&gt;0,P16+L16,L16)</f>
        <v>0</v>
      </c>
      <c r="AA16" s="65"/>
    </row>
    <row r="17" spans="1:22" ht="17" thickBot="1" x14ac:dyDescent="0.25">
      <c r="A17" s="71">
        <f>Runner2</f>
        <v>0</v>
      </c>
      <c r="B17" s="11" t="s">
        <v>55</v>
      </c>
      <c r="C17" s="12">
        <v>2</v>
      </c>
      <c r="D17" s="12">
        <v>4.4000000000000004</v>
      </c>
      <c r="E17" s="12" t="s">
        <v>69</v>
      </c>
      <c r="F17" s="59">
        <f>ROUND('Set-up'!P8/10/Km_Mi_Fact,4)</f>
        <v>0</v>
      </c>
      <c r="G17" s="60">
        <f t="shared" si="0"/>
        <v>0</v>
      </c>
      <c r="H17" s="60">
        <f>G17+H16</f>
        <v>0</v>
      </c>
      <c r="I17" s="13">
        <f t="shared" si="1"/>
        <v>0</v>
      </c>
      <c r="J17" s="16">
        <f>IF(L16&lt;&gt;0,IF(K16&gt;0,P17+L16,L16),K16)</f>
        <v>4.8225308641975306E-8</v>
      </c>
      <c r="K17" s="14">
        <f t="shared" ref="K17:K21" si="5">J17+O17</f>
        <v>9.6450617283950612E-8</v>
      </c>
      <c r="L17" s="25"/>
      <c r="M17" s="15" t="s">
        <v>55</v>
      </c>
      <c r="N17" s="21"/>
      <c r="O17" s="27">
        <f t="shared" ref="O17:O62" si="6">IFERROR(VALUE(TEXT(G17,"[h]:mm.m"))/24,0)</f>
        <v>4.8225308641975306E-8</v>
      </c>
      <c r="P17" s="42">
        <f t="shared" ref="P17:P28" si="7">INT(Q17)</f>
        <v>0</v>
      </c>
      <c r="Q17" s="64">
        <f t="shared" si="2"/>
        <v>0</v>
      </c>
      <c r="R17" s="27">
        <f t="shared" si="3"/>
        <v>9.6450617283950612E-8</v>
      </c>
      <c r="V17" s="37">
        <f t="shared" si="4"/>
        <v>0</v>
      </c>
    </row>
    <row r="18" spans="1:22" ht="17" thickBot="1" x14ac:dyDescent="0.25">
      <c r="A18" s="71">
        <f>Runner3</f>
        <v>0</v>
      </c>
      <c r="B18" s="11" t="s">
        <v>55</v>
      </c>
      <c r="C18" s="12">
        <v>3</v>
      </c>
      <c r="D18" s="12">
        <v>5.5</v>
      </c>
      <c r="E18" s="12" t="s">
        <v>69</v>
      </c>
      <c r="F18" s="59">
        <f>ROUND('Set-up'!P9/10/Km_Mi_Fact,4)</f>
        <v>0</v>
      </c>
      <c r="G18" s="60">
        <f t="shared" si="0"/>
        <v>0</v>
      </c>
      <c r="H18" s="60">
        <f>G18+H17</f>
        <v>0</v>
      </c>
      <c r="I18" s="13">
        <f t="shared" si="1"/>
        <v>0</v>
      </c>
      <c r="J18" s="16">
        <f>IF(L17&lt;&gt;0,IF(K17&gt;0,P18+L17,L17),K17)</f>
        <v>9.6450617283950612E-8</v>
      </c>
      <c r="K18" s="14">
        <f t="shared" si="5"/>
        <v>1.4467592592592592E-7</v>
      </c>
      <c r="L18" s="25"/>
      <c r="M18" s="15" t="s">
        <v>55</v>
      </c>
      <c r="N18" s="21"/>
      <c r="O18" s="27">
        <f t="shared" si="6"/>
        <v>4.8225308641975306E-8</v>
      </c>
      <c r="P18" s="42">
        <f t="shared" si="7"/>
        <v>0</v>
      </c>
      <c r="Q18" s="64">
        <f t="shared" si="2"/>
        <v>0</v>
      </c>
      <c r="R18" s="27">
        <f t="shared" si="3"/>
        <v>1.4467592592592592E-7</v>
      </c>
      <c r="V18" s="37">
        <f t="shared" si="4"/>
        <v>0</v>
      </c>
    </row>
    <row r="19" spans="1:22" ht="17" thickBot="1" x14ac:dyDescent="0.25">
      <c r="A19" s="71">
        <f>Runner4</f>
        <v>0</v>
      </c>
      <c r="B19" s="11" t="s">
        <v>55</v>
      </c>
      <c r="C19" s="12">
        <v>4</v>
      </c>
      <c r="D19" s="12">
        <v>8</v>
      </c>
      <c r="E19" s="12" t="s">
        <v>70</v>
      </c>
      <c r="F19" s="59">
        <f>ROUND('Set-up'!P10/10/Km_Mi_Fact,4)</f>
        <v>0</v>
      </c>
      <c r="G19" s="60">
        <f t="shared" si="0"/>
        <v>0</v>
      </c>
      <c r="H19" s="60">
        <f>G19+H18</f>
        <v>0</v>
      </c>
      <c r="I19" s="13">
        <f t="shared" si="1"/>
        <v>0</v>
      </c>
      <c r="J19" s="16">
        <f>IF(L18&lt;&gt;0,IF(K18&gt;0,P19+L18,L18),K18)</f>
        <v>1.4467592592592592E-7</v>
      </c>
      <c r="K19" s="14">
        <f t="shared" si="5"/>
        <v>1.9290123456790122E-7</v>
      </c>
      <c r="L19" s="25"/>
      <c r="M19" s="15" t="s">
        <v>55</v>
      </c>
      <c r="N19" s="21"/>
      <c r="O19" s="27">
        <f t="shared" si="6"/>
        <v>4.8225308641975306E-8</v>
      </c>
      <c r="P19" s="42">
        <f t="shared" si="7"/>
        <v>0</v>
      </c>
      <c r="Q19" s="64">
        <f t="shared" si="2"/>
        <v>0</v>
      </c>
      <c r="R19" s="27">
        <f t="shared" si="3"/>
        <v>1.9290123456790122E-7</v>
      </c>
      <c r="V19" s="37">
        <f t="shared" si="4"/>
        <v>0</v>
      </c>
    </row>
    <row r="20" spans="1:22" ht="17" thickBot="1" x14ac:dyDescent="0.25">
      <c r="A20" s="71">
        <f>Runner5</f>
        <v>0</v>
      </c>
      <c r="B20" s="11" t="s">
        <v>55</v>
      </c>
      <c r="C20" s="12">
        <v>5</v>
      </c>
      <c r="D20" s="12">
        <v>5.6</v>
      </c>
      <c r="E20" s="12" t="s">
        <v>69</v>
      </c>
      <c r="F20" s="59">
        <f>ROUND('Set-up'!P11/10/Km_Mi_Fact,4)</f>
        <v>0</v>
      </c>
      <c r="G20" s="60">
        <f t="shared" si="0"/>
        <v>0</v>
      </c>
      <c r="H20" s="60">
        <f>G20+H19</f>
        <v>0</v>
      </c>
      <c r="I20" s="13">
        <f t="shared" si="1"/>
        <v>0</v>
      </c>
      <c r="J20" s="16">
        <f>IF(L19&lt;&gt;0,IF(K19&gt;0,P20+L19,L19),K19)</f>
        <v>1.9290123456790122E-7</v>
      </c>
      <c r="K20" s="14">
        <f t="shared" si="5"/>
        <v>2.4112654320987655E-7</v>
      </c>
      <c r="L20" s="25"/>
      <c r="M20" s="15" t="s">
        <v>55</v>
      </c>
      <c r="N20" s="21"/>
      <c r="O20" s="27">
        <f t="shared" si="6"/>
        <v>4.8225308641975306E-8</v>
      </c>
      <c r="P20" s="42">
        <f t="shared" si="7"/>
        <v>0</v>
      </c>
      <c r="Q20" s="64">
        <f t="shared" si="2"/>
        <v>0</v>
      </c>
      <c r="R20" s="27">
        <f t="shared" si="3"/>
        <v>2.4112654320987655E-7</v>
      </c>
      <c r="V20" s="37">
        <f t="shared" si="4"/>
        <v>0</v>
      </c>
    </row>
    <row r="21" spans="1:22" ht="17" thickBot="1" x14ac:dyDescent="0.25">
      <c r="A21" s="71">
        <f>Runner6</f>
        <v>0</v>
      </c>
      <c r="B21" s="11" t="s">
        <v>55</v>
      </c>
      <c r="C21" s="12">
        <v>6</v>
      </c>
      <c r="D21" s="12">
        <v>5.4</v>
      </c>
      <c r="E21" s="12" t="s">
        <v>68</v>
      </c>
      <c r="F21" s="59">
        <f>ROUND('Set-up'!P12/10/Km_Mi_Fact,4)</f>
        <v>0</v>
      </c>
      <c r="G21" s="60">
        <f t="shared" si="0"/>
        <v>0</v>
      </c>
      <c r="H21" s="60">
        <f>G21+H20</f>
        <v>0</v>
      </c>
      <c r="I21" s="13">
        <f t="shared" si="1"/>
        <v>0</v>
      </c>
      <c r="J21" s="16">
        <f>IF(L20&lt;&gt;0,IF(K20&gt;0,P21+L20,L20),K20)</f>
        <v>2.4112654320987655E-7</v>
      </c>
      <c r="K21" s="14">
        <f t="shared" si="5"/>
        <v>2.8935185185185185E-7</v>
      </c>
      <c r="L21" s="25"/>
      <c r="M21" s="15" t="s">
        <v>55</v>
      </c>
      <c r="N21" s="21"/>
      <c r="O21" s="27">
        <f t="shared" si="6"/>
        <v>4.8225308641975306E-8</v>
      </c>
      <c r="P21" s="42">
        <f t="shared" si="7"/>
        <v>0</v>
      </c>
      <c r="Q21" s="64">
        <f t="shared" si="2"/>
        <v>0</v>
      </c>
      <c r="R21" s="27">
        <f t="shared" si="3"/>
        <v>2.8935185185185185E-7</v>
      </c>
      <c r="V21" s="37">
        <f t="shared" si="4"/>
        <v>0</v>
      </c>
    </row>
    <row r="22" spans="1:22" ht="17" thickBot="1" x14ac:dyDescent="0.25">
      <c r="A22" s="79" t="s">
        <v>71</v>
      </c>
      <c r="B22" s="17" t="s">
        <v>55</v>
      </c>
      <c r="C22" s="53">
        <f>SUM(D16:D21)</f>
        <v>33.799999999999997</v>
      </c>
      <c r="D22" s="54"/>
      <c r="E22" s="54"/>
      <c r="F22" s="54"/>
      <c r="G22" s="54"/>
      <c r="H22" s="54"/>
      <c r="I22" s="54"/>
      <c r="J22" s="54"/>
      <c r="K22" s="54"/>
      <c r="L22" s="82"/>
      <c r="M22" s="18" t="s">
        <v>55</v>
      </c>
      <c r="N22" s="20"/>
      <c r="O22" s="27"/>
      <c r="P22" s="42"/>
      <c r="Q22" s="64"/>
      <c r="V22" s="37">
        <f t="shared" si="4"/>
        <v>0</v>
      </c>
    </row>
    <row r="23" spans="1:22" ht="17" thickBot="1" x14ac:dyDescent="0.25">
      <c r="A23" s="71">
        <f>Runner7</f>
        <v>0</v>
      </c>
      <c r="B23" s="11" t="s">
        <v>55</v>
      </c>
      <c r="C23" s="12">
        <v>7</v>
      </c>
      <c r="D23" s="12">
        <v>7.4</v>
      </c>
      <c r="E23" s="12" t="s">
        <v>72</v>
      </c>
      <c r="F23" s="59">
        <f>ROUND('Set-up'!P14/10/Km_Mi_Fact,4)</f>
        <v>0</v>
      </c>
      <c r="G23" s="60">
        <f t="shared" ref="G23:G28" si="8">F23*D23</f>
        <v>0</v>
      </c>
      <c r="H23" s="60">
        <f>G23+H21</f>
        <v>0</v>
      </c>
      <c r="I23" s="13">
        <f t="shared" ref="I23:I28" si="9">H23/60</f>
        <v>0</v>
      </c>
      <c r="J23" s="38">
        <f>IF(L21&lt;&gt;0,IF(P23&gt;0,P23+L21,L21),K21)</f>
        <v>2.8935185185185185E-7</v>
      </c>
      <c r="K23" s="14">
        <f>J23+O23</f>
        <v>3.3757716049382715E-7</v>
      </c>
      <c r="L23" s="25"/>
      <c r="M23" s="15" t="s">
        <v>55</v>
      </c>
      <c r="N23" s="21"/>
      <c r="O23" s="27">
        <f t="shared" si="6"/>
        <v>4.8225308641975306E-8</v>
      </c>
      <c r="P23" s="42">
        <f t="shared" si="7"/>
        <v>0</v>
      </c>
      <c r="Q23" s="64">
        <f t="shared" si="2"/>
        <v>0</v>
      </c>
      <c r="R23" s="27">
        <f t="shared" ref="R23:R28" si="10">K23-Start_Time</f>
        <v>3.3757716049382715E-7</v>
      </c>
      <c r="V23" s="37">
        <f t="shared" si="4"/>
        <v>0</v>
      </c>
    </row>
    <row r="24" spans="1:22" ht="17" thickBot="1" x14ac:dyDescent="0.25">
      <c r="A24" s="71">
        <f>Runner8</f>
        <v>0</v>
      </c>
      <c r="B24" s="11" t="s">
        <v>55</v>
      </c>
      <c r="C24" s="12">
        <v>8</v>
      </c>
      <c r="D24" s="12">
        <v>3.8</v>
      </c>
      <c r="E24" s="12" t="s">
        <v>69</v>
      </c>
      <c r="F24" s="59">
        <f>ROUND('Set-up'!P15/10/Km_Mi_Fact,4)</f>
        <v>0</v>
      </c>
      <c r="G24" s="60">
        <f t="shared" si="8"/>
        <v>0</v>
      </c>
      <c r="H24" s="60">
        <f>G24+H23</f>
        <v>0</v>
      </c>
      <c r="I24" s="13">
        <f t="shared" si="9"/>
        <v>0</v>
      </c>
      <c r="J24" s="16">
        <f>IF(L23&lt;&gt;0,IF(P24&gt;0,P24+L23,L23),K23)</f>
        <v>3.3757716049382715E-7</v>
      </c>
      <c r="K24" s="14">
        <f t="shared" ref="K24:K28" si="11">J24+O24</f>
        <v>3.8580246913580245E-7</v>
      </c>
      <c r="L24" s="25"/>
      <c r="M24" s="15" t="s">
        <v>55</v>
      </c>
      <c r="N24" s="21"/>
      <c r="O24" s="27">
        <f t="shared" si="6"/>
        <v>4.8225308641975306E-8</v>
      </c>
      <c r="P24" s="42">
        <f t="shared" si="7"/>
        <v>0</v>
      </c>
      <c r="Q24" s="64">
        <f t="shared" si="2"/>
        <v>0</v>
      </c>
      <c r="R24" s="27">
        <f t="shared" si="10"/>
        <v>3.8580246913580245E-7</v>
      </c>
      <c r="V24" s="37">
        <f t="shared" si="4"/>
        <v>0</v>
      </c>
    </row>
    <row r="25" spans="1:22" ht="17" thickBot="1" x14ac:dyDescent="0.25">
      <c r="A25" s="71">
        <f>Runner9</f>
        <v>0</v>
      </c>
      <c r="B25" s="11" t="s">
        <v>55</v>
      </c>
      <c r="C25" s="12">
        <v>9</v>
      </c>
      <c r="D25" s="12">
        <v>5.3</v>
      </c>
      <c r="E25" s="12" t="s">
        <v>69</v>
      </c>
      <c r="F25" s="59">
        <f>ROUND('Set-up'!P16/10/Km_Mi_Fact,4)</f>
        <v>0</v>
      </c>
      <c r="G25" s="60">
        <f t="shared" si="8"/>
        <v>0</v>
      </c>
      <c r="H25" s="60">
        <f>G25+H24</f>
        <v>0</v>
      </c>
      <c r="I25" s="13">
        <f t="shared" si="9"/>
        <v>0</v>
      </c>
      <c r="J25" s="16">
        <f>IF(L24&lt;&gt;0,IF(P25&gt;0,P25+L24,L24),K24)</f>
        <v>3.8580246913580245E-7</v>
      </c>
      <c r="K25" s="14">
        <f t="shared" si="11"/>
        <v>4.3402777777777775E-7</v>
      </c>
      <c r="L25" s="25"/>
      <c r="M25" s="15" t="s">
        <v>55</v>
      </c>
      <c r="N25" s="21"/>
      <c r="O25" s="27">
        <f t="shared" si="6"/>
        <v>4.8225308641975306E-8</v>
      </c>
      <c r="P25" s="42">
        <f t="shared" si="7"/>
        <v>0</v>
      </c>
      <c r="Q25" s="64">
        <f t="shared" si="2"/>
        <v>0</v>
      </c>
      <c r="R25" s="27">
        <f t="shared" si="10"/>
        <v>4.3402777777777775E-7</v>
      </c>
      <c r="V25" s="37">
        <f t="shared" si="4"/>
        <v>0</v>
      </c>
    </row>
    <row r="26" spans="1:22" ht="17" thickBot="1" x14ac:dyDescent="0.25">
      <c r="A26" s="71">
        <f>Runner10</f>
        <v>0</v>
      </c>
      <c r="B26" s="11" t="s">
        <v>55</v>
      </c>
      <c r="C26" s="12">
        <v>10</v>
      </c>
      <c r="D26" s="12">
        <v>4.8</v>
      </c>
      <c r="E26" s="12" t="s">
        <v>69</v>
      </c>
      <c r="F26" s="59">
        <f>ROUND('Set-up'!P17/10/Km_Mi_Fact,4)</f>
        <v>0</v>
      </c>
      <c r="G26" s="60">
        <f t="shared" si="8"/>
        <v>0</v>
      </c>
      <c r="H26" s="60">
        <f>G26+H25</f>
        <v>0</v>
      </c>
      <c r="I26" s="13">
        <f t="shared" si="9"/>
        <v>0</v>
      </c>
      <c r="J26" s="16">
        <f>IF(L25&lt;&gt;0,IF(P26&gt;0,P26+L25,L25),K25)</f>
        <v>4.3402777777777775E-7</v>
      </c>
      <c r="K26" s="14">
        <f t="shared" si="11"/>
        <v>4.822530864197531E-7</v>
      </c>
      <c r="L26" s="25"/>
      <c r="M26" s="15" t="s">
        <v>55</v>
      </c>
      <c r="N26" s="21"/>
      <c r="O26" s="27">
        <f t="shared" si="6"/>
        <v>4.8225308641975306E-8</v>
      </c>
      <c r="P26" s="42">
        <f t="shared" si="7"/>
        <v>0</v>
      </c>
      <c r="Q26" s="64">
        <f t="shared" si="2"/>
        <v>0</v>
      </c>
      <c r="R26" s="27">
        <f t="shared" si="10"/>
        <v>4.822530864197531E-7</v>
      </c>
      <c r="V26" s="37">
        <f t="shared" si="4"/>
        <v>0</v>
      </c>
    </row>
    <row r="27" spans="1:22" ht="17" thickBot="1" x14ac:dyDescent="0.25">
      <c r="A27" s="71">
        <f>Runner11</f>
        <v>0</v>
      </c>
      <c r="B27" s="11" t="s">
        <v>55</v>
      </c>
      <c r="C27" s="12">
        <v>11</v>
      </c>
      <c r="D27" s="12">
        <v>5.2</v>
      </c>
      <c r="E27" s="12" t="s">
        <v>69</v>
      </c>
      <c r="F27" s="59">
        <f>ROUND('Set-up'!P18/10/Km_Mi_Fact,4)</f>
        <v>0</v>
      </c>
      <c r="G27" s="60">
        <f t="shared" si="8"/>
        <v>0</v>
      </c>
      <c r="H27" s="60">
        <f>G27+H26</f>
        <v>0</v>
      </c>
      <c r="I27" s="13">
        <f t="shared" si="9"/>
        <v>0</v>
      </c>
      <c r="J27" s="16">
        <f>IF(L26&lt;&gt;0,IF(P27&gt;0,P27+L26,L26),K26)</f>
        <v>4.822530864197531E-7</v>
      </c>
      <c r="K27" s="14">
        <f t="shared" si="11"/>
        <v>5.304783950617284E-7</v>
      </c>
      <c r="L27" s="25"/>
      <c r="M27" s="15" t="s">
        <v>55</v>
      </c>
      <c r="N27" s="21"/>
      <c r="O27" s="27">
        <f t="shared" si="6"/>
        <v>4.8225308641975306E-8</v>
      </c>
      <c r="P27" s="42">
        <f t="shared" si="7"/>
        <v>0</v>
      </c>
      <c r="Q27" s="64">
        <f t="shared" si="2"/>
        <v>0</v>
      </c>
      <c r="R27" s="27">
        <f t="shared" si="10"/>
        <v>5.304783950617284E-7</v>
      </c>
      <c r="V27" s="37">
        <f t="shared" si="4"/>
        <v>0</v>
      </c>
    </row>
    <row r="28" spans="1:22" ht="45" customHeight="1" thickBot="1" x14ac:dyDescent="0.25">
      <c r="A28" s="71">
        <f>Runner12</f>
        <v>0</v>
      </c>
      <c r="B28" s="11" t="s">
        <v>55</v>
      </c>
      <c r="C28" s="12">
        <v>12</v>
      </c>
      <c r="D28" s="12">
        <v>6.2</v>
      </c>
      <c r="E28" s="12" t="s">
        <v>69</v>
      </c>
      <c r="F28" s="90">
        <f>ROUND('Set-up'!P19/10/Km_Mi_Fact,4)</f>
        <v>0</v>
      </c>
      <c r="G28" s="60">
        <f t="shared" si="8"/>
        <v>0</v>
      </c>
      <c r="H28" s="60">
        <f>G28+H27</f>
        <v>0</v>
      </c>
      <c r="I28" s="13">
        <f t="shared" si="9"/>
        <v>0</v>
      </c>
      <c r="J28" s="16">
        <f>IF(L27&lt;&gt;0,IF(P28&gt;0,P28+L27,L27),K27)</f>
        <v>5.304783950617284E-7</v>
      </c>
      <c r="K28" s="14">
        <f t="shared" si="11"/>
        <v>5.787037037037037E-7</v>
      </c>
      <c r="L28" s="25"/>
      <c r="M28" s="15" t="s">
        <v>55</v>
      </c>
      <c r="N28" s="84" t="s">
        <v>73</v>
      </c>
      <c r="O28" s="27">
        <f t="shared" si="6"/>
        <v>4.8225308641975306E-8</v>
      </c>
      <c r="P28" s="42">
        <f t="shared" si="7"/>
        <v>0</v>
      </c>
      <c r="Q28" s="64">
        <f t="shared" si="2"/>
        <v>0</v>
      </c>
      <c r="R28" s="27">
        <f t="shared" si="10"/>
        <v>5.787037037037037E-7</v>
      </c>
      <c r="S28" s="33">
        <f t="shared" ref="S28:S37" si="12">IF(AND(L28&gt;0,K28&gt;P28+L28),P28+L28,IF(P28+L28&gt;K28,P28+L28,K28))</f>
        <v>5.787037037037037E-7</v>
      </c>
      <c r="V28" s="37">
        <f t="shared" si="4"/>
        <v>0</v>
      </c>
    </row>
    <row r="29" spans="1:22" ht="17" thickBot="1" x14ac:dyDescent="0.25">
      <c r="A29" s="79" t="s">
        <v>74</v>
      </c>
      <c r="B29" s="17" t="s">
        <v>55</v>
      </c>
      <c r="C29" s="53">
        <f>SUM(D23:D28)</f>
        <v>32.700000000000003</v>
      </c>
      <c r="D29" s="54"/>
      <c r="E29" s="54"/>
      <c r="F29" s="54"/>
      <c r="G29" s="54"/>
      <c r="H29" s="54"/>
      <c r="I29" s="54"/>
      <c r="J29" s="54"/>
      <c r="K29" s="54"/>
      <c r="L29" s="55"/>
      <c r="M29" s="18" t="s">
        <v>55</v>
      </c>
      <c r="N29" s="20"/>
      <c r="O29" s="27"/>
      <c r="P29" s="42"/>
      <c r="Q29" s="64"/>
      <c r="S29" s="33"/>
    </row>
    <row r="30" spans="1:22" ht="16" thickBot="1" x14ac:dyDescent="0.25">
      <c r="F30" s="28"/>
      <c r="O30" s="27"/>
      <c r="P30" s="42"/>
      <c r="Q30" s="64"/>
      <c r="S30" s="33"/>
    </row>
    <row r="31" spans="1:22" ht="17" customHeight="1" thickBot="1" x14ac:dyDescent="0.25">
      <c r="B31" s="7" t="s">
        <v>55</v>
      </c>
      <c r="C31" s="49" t="s">
        <v>75</v>
      </c>
      <c r="D31" s="50"/>
      <c r="E31" s="50"/>
      <c r="F31" s="50"/>
      <c r="G31" s="50"/>
      <c r="H31" s="50"/>
      <c r="I31" s="50"/>
      <c r="J31" s="50"/>
      <c r="K31" s="50"/>
      <c r="L31" s="51"/>
      <c r="M31" s="7" t="s">
        <v>55</v>
      </c>
      <c r="O31" s="27"/>
      <c r="P31" s="42"/>
      <c r="Q31" s="64"/>
      <c r="S31" s="33"/>
    </row>
    <row r="32" spans="1:22" ht="28.25" customHeight="1" thickBot="1" x14ac:dyDescent="0.25">
      <c r="B32" s="7" t="s">
        <v>55</v>
      </c>
      <c r="C32" s="9" t="s">
        <v>58</v>
      </c>
      <c r="D32" s="9" t="s">
        <v>59</v>
      </c>
      <c r="E32" s="9" t="s">
        <v>60</v>
      </c>
      <c r="F32" s="9" t="s">
        <v>76</v>
      </c>
      <c r="G32" s="9" t="s">
        <v>62</v>
      </c>
      <c r="H32" s="9" t="s">
        <v>63</v>
      </c>
      <c r="I32" s="10" t="s">
        <v>64</v>
      </c>
      <c r="J32" s="10" t="s">
        <v>65</v>
      </c>
      <c r="K32" s="9" t="s">
        <v>66</v>
      </c>
      <c r="L32" s="9" t="s">
        <v>67</v>
      </c>
      <c r="M32" s="7" t="s">
        <v>55</v>
      </c>
      <c r="N32" s="46" t="str">
        <f>N13</f>
        <v>Runner should arrive at exchange point before  this time *</v>
      </c>
      <c r="O32" s="27"/>
      <c r="P32" s="42"/>
      <c r="Q32" s="64"/>
      <c r="S32" s="33"/>
    </row>
    <row r="33" spans="1:22" ht="16" x14ac:dyDescent="0.2">
      <c r="A33" s="71">
        <f>Runner1</f>
        <v>0</v>
      </c>
      <c r="B33" s="11" t="s">
        <v>55</v>
      </c>
      <c r="C33" s="12">
        <v>13</v>
      </c>
      <c r="D33" s="12">
        <v>6.2</v>
      </c>
      <c r="E33" s="12" t="s">
        <v>69</v>
      </c>
      <c r="F33" s="61">
        <f t="shared" ref="F33:F38" si="13">F16</f>
        <v>0</v>
      </c>
      <c r="G33" s="60">
        <f t="shared" ref="G33:G38" si="14">F33*D33</f>
        <v>0</v>
      </c>
      <c r="H33" s="60">
        <f>G33+H28</f>
        <v>0</v>
      </c>
      <c r="I33" s="13">
        <f t="shared" ref="I33:I38" si="15">H33/60</f>
        <v>0</v>
      </c>
      <c r="J33" s="16">
        <f>IF(L28&lt;&gt;0,IF(P33&gt;0,P33+L28,L28),K28)</f>
        <v>5.787037037037037E-7</v>
      </c>
      <c r="K33" s="14">
        <f>J33+O33</f>
        <v>6.26929012345679E-7</v>
      </c>
      <c r="L33" s="25"/>
      <c r="M33" s="11" t="s">
        <v>55</v>
      </c>
      <c r="N33" s="36">
        <v>0.96875</v>
      </c>
      <c r="O33" s="27">
        <f t="shared" si="6"/>
        <v>4.8225308641975306E-8</v>
      </c>
      <c r="P33" s="42">
        <f>MAX(P28,IF(AND(ISNUMBER(L33),L33&lt;0.5),1,INT(I33/24+Start_Time)))</f>
        <v>0</v>
      </c>
      <c r="Q33" s="64">
        <f t="shared" si="2"/>
        <v>0</v>
      </c>
      <c r="R33" s="27">
        <f t="shared" ref="R33:R38" si="16">K33-Start_Time</f>
        <v>6.26929012345679E-7</v>
      </c>
      <c r="S33" s="33">
        <f t="shared" si="12"/>
        <v>6.26929012345679E-7</v>
      </c>
      <c r="V33" s="37">
        <f t="shared" ref="V33:V37" si="17">IF(L33&gt;0,P33+L33,L33)</f>
        <v>0</v>
      </c>
    </row>
    <row r="34" spans="1:22" ht="17" thickBot="1" x14ac:dyDescent="0.25">
      <c r="A34" s="71">
        <f>Runner2</f>
        <v>0</v>
      </c>
      <c r="B34" s="11" t="s">
        <v>55</v>
      </c>
      <c r="C34" s="12">
        <v>14</v>
      </c>
      <c r="D34" s="12">
        <v>6.2</v>
      </c>
      <c r="E34" s="12" t="s">
        <v>70</v>
      </c>
      <c r="F34" s="61">
        <f t="shared" si="13"/>
        <v>0</v>
      </c>
      <c r="G34" s="60">
        <f t="shared" si="14"/>
        <v>0</v>
      </c>
      <c r="H34" s="60">
        <f>G34+H33</f>
        <v>0</v>
      </c>
      <c r="I34" s="13">
        <f t="shared" si="15"/>
        <v>0</v>
      </c>
      <c r="J34" s="16">
        <f>IF(L33&lt;&gt;0,IF(P34&gt;0,P34+L33,L33),K33)</f>
        <v>6.26929012345679E-7</v>
      </c>
      <c r="K34" s="14">
        <f t="shared" ref="K34:K38" si="18">J34+O34</f>
        <v>6.7515432098765429E-7</v>
      </c>
      <c r="L34" s="25"/>
      <c r="M34" s="11" t="s">
        <v>55</v>
      </c>
      <c r="N34" s="36">
        <v>0.97916666666666663</v>
      </c>
      <c r="O34" s="27">
        <f t="shared" si="6"/>
        <v>4.8225308641975306E-8</v>
      </c>
      <c r="P34" s="42">
        <f>MAX(P33,IF(AND(ISNUMBER(L34),L34&lt;0.5),1,INT(I34/24+Start_Time)))</f>
        <v>0</v>
      </c>
      <c r="Q34" s="64">
        <f t="shared" si="2"/>
        <v>0</v>
      </c>
      <c r="R34" s="27">
        <f t="shared" si="16"/>
        <v>6.7515432098765429E-7</v>
      </c>
      <c r="S34" s="33">
        <f t="shared" si="12"/>
        <v>6.7515432098765429E-7</v>
      </c>
      <c r="V34" s="37">
        <f t="shared" si="17"/>
        <v>0</v>
      </c>
    </row>
    <row r="35" spans="1:22" ht="17" thickBot="1" x14ac:dyDescent="0.25">
      <c r="A35" s="71">
        <f>Runner3</f>
        <v>0</v>
      </c>
      <c r="B35" s="11" t="s">
        <v>55</v>
      </c>
      <c r="C35" s="12">
        <v>15</v>
      </c>
      <c r="D35" s="12">
        <v>5.5</v>
      </c>
      <c r="E35" s="12" t="s">
        <v>72</v>
      </c>
      <c r="F35" s="61">
        <f t="shared" si="13"/>
        <v>0</v>
      </c>
      <c r="G35" s="60">
        <f t="shared" si="14"/>
        <v>0</v>
      </c>
      <c r="H35" s="60">
        <f>G35+H34</f>
        <v>0</v>
      </c>
      <c r="I35" s="13">
        <f t="shared" si="15"/>
        <v>0</v>
      </c>
      <c r="J35" s="16">
        <f>IF(L34&lt;&gt;0,IF(P35&gt;0,P35+L34,L34),K34)</f>
        <v>6.7515432098765429E-7</v>
      </c>
      <c r="K35" s="14">
        <f t="shared" si="18"/>
        <v>7.2337962962962959E-7</v>
      </c>
      <c r="L35" s="25"/>
      <c r="M35" s="11" t="s">
        <v>55</v>
      </c>
      <c r="N35" s="36">
        <v>0.98958333333333337</v>
      </c>
      <c r="O35" s="27">
        <f t="shared" si="6"/>
        <v>4.8225308641975306E-8</v>
      </c>
      <c r="P35" s="42">
        <f>MAX(P34,IF(AND(ISNUMBER(L35),L35&lt;0.5),1,INT(I35/24+Start_Time)))</f>
        <v>0</v>
      </c>
      <c r="Q35" s="64">
        <f t="shared" si="2"/>
        <v>0</v>
      </c>
      <c r="R35" s="27">
        <f t="shared" si="16"/>
        <v>7.2337962962962959E-7</v>
      </c>
      <c r="S35" s="33">
        <f t="shared" si="12"/>
        <v>7.2337962962962959E-7</v>
      </c>
      <c r="V35" s="37">
        <f t="shared" si="17"/>
        <v>0</v>
      </c>
    </row>
    <row r="36" spans="1:22" ht="17" thickBot="1" x14ac:dyDescent="0.25">
      <c r="A36" s="71">
        <f>Runner4</f>
        <v>0</v>
      </c>
      <c r="B36" s="11" t="s">
        <v>55</v>
      </c>
      <c r="C36" s="12">
        <v>16</v>
      </c>
      <c r="D36" s="12">
        <v>3.4</v>
      </c>
      <c r="E36" s="12" t="s">
        <v>68</v>
      </c>
      <c r="F36" s="61">
        <f t="shared" si="13"/>
        <v>0</v>
      </c>
      <c r="G36" s="60">
        <f t="shared" si="14"/>
        <v>0</v>
      </c>
      <c r="H36" s="60">
        <f>G36+H35</f>
        <v>0</v>
      </c>
      <c r="I36" s="13">
        <f t="shared" si="15"/>
        <v>0</v>
      </c>
      <c r="J36" s="16">
        <f>IF(L35&lt;&gt;0,IF(P36&gt;0,P36+L35,L35),K35)</f>
        <v>7.2337962962962959E-7</v>
      </c>
      <c r="K36" s="14">
        <f t="shared" si="18"/>
        <v>7.7160493827160489E-7</v>
      </c>
      <c r="L36" s="25"/>
      <c r="M36" s="11" t="s">
        <v>55</v>
      </c>
      <c r="N36" s="36">
        <v>1.0104166666666601</v>
      </c>
      <c r="O36" s="27">
        <f t="shared" si="6"/>
        <v>4.8225308641975306E-8</v>
      </c>
      <c r="P36" s="42">
        <f>MAX(P35,IF(AND(ISNUMBER(L36),L36&lt;0.5),1,INT(I36/24+Start_Time)))</f>
        <v>0</v>
      </c>
      <c r="Q36" s="64">
        <f t="shared" si="2"/>
        <v>0</v>
      </c>
      <c r="R36" s="27">
        <f t="shared" si="16"/>
        <v>7.7160493827160489E-7</v>
      </c>
      <c r="S36" s="33">
        <f t="shared" si="12"/>
        <v>7.7160493827160489E-7</v>
      </c>
      <c r="V36" s="37">
        <f t="shared" si="17"/>
        <v>0</v>
      </c>
    </row>
    <row r="37" spans="1:22" ht="17" thickBot="1" x14ac:dyDescent="0.25">
      <c r="A37" s="71">
        <f>Runner5</f>
        <v>0</v>
      </c>
      <c r="B37" s="11" t="s">
        <v>55</v>
      </c>
      <c r="C37" s="12">
        <v>17</v>
      </c>
      <c r="D37" s="12">
        <v>3.3</v>
      </c>
      <c r="E37" s="12" t="s">
        <v>68</v>
      </c>
      <c r="F37" s="61">
        <f t="shared" si="13"/>
        <v>0</v>
      </c>
      <c r="G37" s="60">
        <f t="shared" si="14"/>
        <v>0</v>
      </c>
      <c r="H37" s="60">
        <f>G37+H36</f>
        <v>0</v>
      </c>
      <c r="I37" s="13">
        <f t="shared" si="15"/>
        <v>0</v>
      </c>
      <c r="J37" s="16">
        <f>IF(L36&lt;&gt;0,IF(P37&gt;0,P37+L36,L36),K36)</f>
        <v>7.7160493827160489E-7</v>
      </c>
      <c r="K37" s="14">
        <f t="shared" si="18"/>
        <v>8.1983024691358019E-7</v>
      </c>
      <c r="L37" s="25"/>
      <c r="M37" s="11" t="s">
        <v>55</v>
      </c>
      <c r="N37" s="36">
        <v>1.03125</v>
      </c>
      <c r="O37" s="27">
        <f t="shared" si="6"/>
        <v>4.8225308641975306E-8</v>
      </c>
      <c r="P37" s="42">
        <f>MAX(P36,IF(AND(ISNUMBER(L37),L37&lt;0.5),1,INT(I37/24+Start_Time)))</f>
        <v>0</v>
      </c>
      <c r="Q37" s="64">
        <f t="shared" si="2"/>
        <v>0</v>
      </c>
      <c r="R37" s="27">
        <f t="shared" si="16"/>
        <v>8.1983024691358019E-7</v>
      </c>
      <c r="S37" s="33">
        <f t="shared" si="12"/>
        <v>8.1983024691358019E-7</v>
      </c>
      <c r="V37" s="37">
        <f t="shared" si="17"/>
        <v>0</v>
      </c>
    </row>
    <row r="38" spans="1:22" ht="81" thickBot="1" x14ac:dyDescent="0.25">
      <c r="A38" s="71">
        <f>Runner6</f>
        <v>0</v>
      </c>
      <c r="B38" s="11" t="s">
        <v>55</v>
      </c>
      <c r="C38" s="12">
        <v>18</v>
      </c>
      <c r="D38" s="12">
        <v>4.5999999999999996</v>
      </c>
      <c r="E38" s="12" t="s">
        <v>68</v>
      </c>
      <c r="F38" s="62">
        <f t="shared" si="13"/>
        <v>0</v>
      </c>
      <c r="G38" s="60">
        <f t="shared" si="14"/>
        <v>0</v>
      </c>
      <c r="H38" s="60">
        <f>G38+H37</f>
        <v>0</v>
      </c>
      <c r="I38" s="13">
        <f t="shared" si="15"/>
        <v>0</v>
      </c>
      <c r="J38" s="16">
        <f>IF(L37&lt;&gt;0,IF(P38&gt;0,P38+L37,L37),K37)</f>
        <v>8.1983024691358019E-7</v>
      </c>
      <c r="K38" s="14">
        <f t="shared" si="18"/>
        <v>8.6805555555555549E-7</v>
      </c>
      <c r="L38" s="25"/>
      <c r="M38" s="11" t="s">
        <v>55</v>
      </c>
      <c r="N38" s="35" t="s">
        <v>77</v>
      </c>
      <c r="O38" s="27">
        <f t="shared" si="6"/>
        <v>4.8225308641975306E-8</v>
      </c>
      <c r="P38" s="42">
        <f>MAX(P37,IF(AND(ISNUMBER(L38),L38&lt;0.5),1,INT(I38/24+Start_Time)))</f>
        <v>0</v>
      </c>
      <c r="Q38" s="64">
        <f t="shared" si="2"/>
        <v>0</v>
      </c>
      <c r="R38" s="27">
        <f t="shared" si="16"/>
        <v>8.6805555555555549E-7</v>
      </c>
      <c r="S38" s="33">
        <f>IF(AND(L38&gt;0,K38&gt;P38+L38),P38+L38,IF(P38+L38&gt;K38,P38+L38,K38))</f>
        <v>8.6805555555555549E-7</v>
      </c>
      <c r="T38" s="37">
        <v>0.9375</v>
      </c>
      <c r="U38" s="37">
        <v>1.0625</v>
      </c>
      <c r="V38" s="37">
        <f>IF(L38&gt;0,P38+L38,L38)</f>
        <v>0</v>
      </c>
    </row>
    <row r="39" spans="1:22" ht="17" thickBot="1" x14ac:dyDescent="0.25">
      <c r="A39" s="79" t="s">
        <v>71</v>
      </c>
      <c r="B39" s="17" t="s">
        <v>55</v>
      </c>
      <c r="C39" s="53">
        <f>SUM(D33:D38)</f>
        <v>29.199999999999996</v>
      </c>
      <c r="D39" s="54"/>
      <c r="E39" s="54"/>
      <c r="F39" s="54"/>
      <c r="G39" s="54"/>
      <c r="H39" s="54"/>
      <c r="I39" s="54"/>
      <c r="J39" s="54"/>
      <c r="K39" s="54"/>
      <c r="L39" s="55"/>
      <c r="M39" s="17" t="s">
        <v>55</v>
      </c>
      <c r="N39" s="20"/>
      <c r="O39" s="27"/>
      <c r="P39" s="42"/>
      <c r="Q39" s="64"/>
      <c r="S39" s="33"/>
      <c r="V39" s="37">
        <f t="shared" ref="V39:V44" si="19">IF(L39&gt;0,P39+L39,L39)</f>
        <v>0</v>
      </c>
    </row>
    <row r="40" spans="1:22" ht="17" thickBot="1" x14ac:dyDescent="0.25">
      <c r="A40" s="71">
        <f>Runner7</f>
        <v>0</v>
      </c>
      <c r="B40" s="11" t="s">
        <v>55</v>
      </c>
      <c r="C40" s="12">
        <v>19</v>
      </c>
      <c r="D40" s="12">
        <v>3.8</v>
      </c>
      <c r="E40" s="12" t="s">
        <v>70</v>
      </c>
      <c r="F40" s="61">
        <f t="shared" ref="F40:F45" si="20">F23</f>
        <v>0</v>
      </c>
      <c r="G40" s="60">
        <f t="shared" ref="G40:G45" si="21">F40*D40</f>
        <v>0</v>
      </c>
      <c r="H40" s="60">
        <f>G40+H38</f>
        <v>0</v>
      </c>
      <c r="I40" s="13">
        <f t="shared" ref="I40:I45" si="22">H40/60</f>
        <v>0</v>
      </c>
      <c r="J40" s="38">
        <f>IF(L38&lt;&gt;0,IF(P40&gt;0,P40+L38,L38),K38)</f>
        <v>8.6805555555555549E-7</v>
      </c>
      <c r="K40" s="39">
        <f>J40+O40</f>
        <v>9.1628086419753079E-7</v>
      </c>
      <c r="L40" s="25"/>
      <c r="M40" s="11" t="s">
        <v>55</v>
      </c>
      <c r="N40" s="36">
        <v>1.0833333333333299</v>
      </c>
      <c r="O40" s="27">
        <f t="shared" si="6"/>
        <v>4.8225308641975306E-8</v>
      </c>
      <c r="P40" s="42">
        <f>MAX(P38,IF(AND(ISNUMBER(L40),L40&lt;0.5),1,INT(I40/24+Start_Time)))</f>
        <v>0</v>
      </c>
      <c r="Q40" s="64">
        <f t="shared" si="2"/>
        <v>0</v>
      </c>
      <c r="R40" s="27">
        <f t="shared" ref="R40:R45" si="23">K40-Start_Time</f>
        <v>9.1628086419753079E-7</v>
      </c>
      <c r="S40" s="33">
        <f t="shared" ref="S40:S62" si="24">IF(AND(L40&gt;0,K40&gt;P40+L40),P40+L40,IF(P40+L40&gt;K40,P40+L40,K40))</f>
        <v>9.1628086419753079E-7</v>
      </c>
      <c r="V40" s="37">
        <f t="shared" si="19"/>
        <v>0</v>
      </c>
    </row>
    <row r="41" spans="1:22" ht="17" thickBot="1" x14ac:dyDescent="0.25">
      <c r="A41" s="71">
        <f>Runner8</f>
        <v>0</v>
      </c>
      <c r="B41" s="11" t="s">
        <v>55</v>
      </c>
      <c r="C41" s="12">
        <v>20</v>
      </c>
      <c r="D41" s="12">
        <v>3.7</v>
      </c>
      <c r="E41" s="12" t="s">
        <v>69</v>
      </c>
      <c r="F41" s="61">
        <f t="shared" si="20"/>
        <v>0</v>
      </c>
      <c r="G41" s="60">
        <f t="shared" si="21"/>
        <v>0</v>
      </c>
      <c r="H41" s="60">
        <f>G41+H40</f>
        <v>0</v>
      </c>
      <c r="I41" s="13">
        <f t="shared" si="22"/>
        <v>0</v>
      </c>
      <c r="J41" s="38">
        <f>IF(L40&lt;&gt;0,IF(P41&gt;0,P41+L40,L40),K40)</f>
        <v>9.1628086419753079E-7</v>
      </c>
      <c r="K41" s="39">
        <f t="shared" ref="K41:K45" si="25">J41+O41</f>
        <v>9.645061728395062E-7</v>
      </c>
      <c r="L41" s="25"/>
      <c r="M41" s="11" t="s">
        <v>55</v>
      </c>
      <c r="N41" s="36">
        <v>1.1145833333333333</v>
      </c>
      <c r="O41" s="27">
        <f t="shared" si="6"/>
        <v>4.8225308641975306E-8</v>
      </c>
      <c r="P41" s="42">
        <f>MAX(P40,IF(AND(ISNUMBER(L41),L41&lt;0.5),1,INT(I41/24+Start_Time)))</f>
        <v>0</v>
      </c>
      <c r="Q41" s="64">
        <f t="shared" si="2"/>
        <v>0</v>
      </c>
      <c r="R41" s="27">
        <f t="shared" si="23"/>
        <v>9.645061728395062E-7</v>
      </c>
      <c r="S41" s="33">
        <f t="shared" si="24"/>
        <v>9.645061728395062E-7</v>
      </c>
      <c r="V41" s="37">
        <f t="shared" si="19"/>
        <v>0</v>
      </c>
    </row>
    <row r="42" spans="1:22" ht="17" thickBot="1" x14ac:dyDescent="0.25">
      <c r="A42" s="71">
        <f>Runner9</f>
        <v>0</v>
      </c>
      <c r="B42" s="11" t="s">
        <v>55</v>
      </c>
      <c r="C42" s="12">
        <v>21</v>
      </c>
      <c r="D42" s="12">
        <v>3.7</v>
      </c>
      <c r="E42" s="12" t="s">
        <v>69</v>
      </c>
      <c r="F42" s="61">
        <f t="shared" si="20"/>
        <v>0</v>
      </c>
      <c r="G42" s="60">
        <f t="shared" si="21"/>
        <v>0</v>
      </c>
      <c r="H42" s="60">
        <f>G42+H41</f>
        <v>0</v>
      </c>
      <c r="I42" s="13">
        <f t="shared" si="22"/>
        <v>0</v>
      </c>
      <c r="J42" s="38">
        <f>IF(L41&lt;&gt;0,IF(P42&gt;0,P42+L41,L41),K41)</f>
        <v>9.645061728395062E-7</v>
      </c>
      <c r="K42" s="39">
        <f t="shared" si="25"/>
        <v>1.0127314814814815E-6</v>
      </c>
      <c r="L42" s="25"/>
      <c r="M42" s="11" t="s">
        <v>55</v>
      </c>
      <c r="N42" s="36">
        <v>1.1458333333333333</v>
      </c>
      <c r="O42" s="27">
        <f t="shared" si="6"/>
        <v>4.8225308641975306E-8</v>
      </c>
      <c r="P42" s="42">
        <f>MAX(P41,IF(AND(ISNUMBER(L42),L42&lt;0.5),1,INT(I42/24+Start_Time)))</f>
        <v>0</v>
      </c>
      <c r="Q42" s="64">
        <f t="shared" si="2"/>
        <v>0</v>
      </c>
      <c r="R42" s="27">
        <f t="shared" si="23"/>
        <v>1.0127314814814815E-6</v>
      </c>
      <c r="S42" s="33">
        <f t="shared" si="24"/>
        <v>1.0127314814814815E-6</v>
      </c>
      <c r="V42" s="37">
        <f t="shared" si="19"/>
        <v>0</v>
      </c>
    </row>
    <row r="43" spans="1:22" ht="17" thickBot="1" x14ac:dyDescent="0.25">
      <c r="A43" s="71">
        <f>Runner10</f>
        <v>0</v>
      </c>
      <c r="B43" s="11" t="s">
        <v>55</v>
      </c>
      <c r="C43" s="12">
        <v>22</v>
      </c>
      <c r="D43" s="12">
        <v>5.7</v>
      </c>
      <c r="E43" s="12" t="s">
        <v>69</v>
      </c>
      <c r="F43" s="61">
        <f t="shared" si="20"/>
        <v>0</v>
      </c>
      <c r="G43" s="60">
        <f t="shared" si="21"/>
        <v>0</v>
      </c>
      <c r="H43" s="60">
        <f>G43+H42</f>
        <v>0</v>
      </c>
      <c r="I43" s="13">
        <f t="shared" si="22"/>
        <v>0</v>
      </c>
      <c r="J43" s="38">
        <f>IF(L42&lt;&gt;0,IF(P43&gt;0,P43+L42,L42),K42)</f>
        <v>1.0127314814814815E-6</v>
      </c>
      <c r="K43" s="39">
        <f t="shared" si="25"/>
        <v>1.0609567901234568E-6</v>
      </c>
      <c r="L43" s="25"/>
      <c r="M43" s="11" t="s">
        <v>55</v>
      </c>
      <c r="N43" s="36">
        <v>1.1875</v>
      </c>
      <c r="O43" s="27">
        <f t="shared" si="6"/>
        <v>4.8225308641975306E-8</v>
      </c>
      <c r="P43" s="42">
        <f>MAX(P42,IF(AND(ISNUMBER(L43),L43&lt;0.5),1,INT(I43/24+Start_Time)))</f>
        <v>0</v>
      </c>
      <c r="Q43" s="64">
        <f t="shared" si="2"/>
        <v>0</v>
      </c>
      <c r="R43" s="27">
        <f t="shared" si="23"/>
        <v>1.0609567901234568E-6</v>
      </c>
      <c r="S43" s="33">
        <f t="shared" si="24"/>
        <v>1.0609567901234568E-6</v>
      </c>
      <c r="V43" s="37">
        <f t="shared" si="19"/>
        <v>0</v>
      </c>
    </row>
    <row r="44" spans="1:22" ht="16" x14ac:dyDescent="0.2">
      <c r="A44" s="71">
        <f>Runner11</f>
        <v>0</v>
      </c>
      <c r="B44" s="11" t="s">
        <v>55</v>
      </c>
      <c r="C44" s="12">
        <v>23</v>
      </c>
      <c r="D44" s="12">
        <v>6.1</v>
      </c>
      <c r="E44" s="12" t="s">
        <v>69</v>
      </c>
      <c r="F44" s="61">
        <f t="shared" si="20"/>
        <v>0</v>
      </c>
      <c r="G44" s="60">
        <f t="shared" si="21"/>
        <v>0</v>
      </c>
      <c r="H44" s="60">
        <f>G44+H43</f>
        <v>0</v>
      </c>
      <c r="I44" s="13">
        <f t="shared" si="22"/>
        <v>0</v>
      </c>
      <c r="J44" s="38">
        <f>IF(L43&lt;&gt;0,IF(P44&gt;0,P44+L43,L43),K43)</f>
        <v>1.0609567901234568E-6</v>
      </c>
      <c r="K44" s="39">
        <f t="shared" si="25"/>
        <v>1.1091820987654321E-6</v>
      </c>
      <c r="L44" s="25"/>
      <c r="M44" s="11" t="s">
        <v>55</v>
      </c>
      <c r="N44" s="36">
        <v>1.2083333333333299</v>
      </c>
      <c r="O44" s="27">
        <f t="shared" si="6"/>
        <v>4.8225308641975306E-8</v>
      </c>
      <c r="P44" s="42">
        <f>MAX(P43,IF(AND(ISNUMBER(L44),L44&lt;0.5),1,INT(I44/24+Start_Time)))</f>
        <v>0</v>
      </c>
      <c r="Q44" s="64">
        <f t="shared" si="2"/>
        <v>0</v>
      </c>
      <c r="R44" s="27">
        <f t="shared" si="23"/>
        <v>1.1091820987654321E-6</v>
      </c>
      <c r="S44" s="33">
        <f t="shared" si="24"/>
        <v>1.1091820987654321E-6</v>
      </c>
      <c r="V44" s="37">
        <f t="shared" si="19"/>
        <v>0</v>
      </c>
    </row>
    <row r="45" spans="1:22" ht="80" x14ac:dyDescent="0.2">
      <c r="A45" s="71">
        <f>Runner12</f>
        <v>0</v>
      </c>
      <c r="B45" s="11" t="s">
        <v>55</v>
      </c>
      <c r="C45" s="12">
        <v>24</v>
      </c>
      <c r="D45" s="12">
        <v>3.2</v>
      </c>
      <c r="E45" s="12" t="s">
        <v>68</v>
      </c>
      <c r="F45" s="62">
        <f t="shared" si="20"/>
        <v>0</v>
      </c>
      <c r="G45" s="60">
        <f t="shared" si="21"/>
        <v>0</v>
      </c>
      <c r="H45" s="60">
        <f>G45+H44</f>
        <v>0</v>
      </c>
      <c r="I45" s="13">
        <f t="shared" si="22"/>
        <v>0</v>
      </c>
      <c r="J45" s="38">
        <f>IF(L44&lt;&gt;0,IF(P45&gt;0,P45+L44,L44),K44)</f>
        <v>1.1091820987654321E-6</v>
      </c>
      <c r="K45" s="39">
        <f t="shared" si="25"/>
        <v>1.1574074074074074E-6</v>
      </c>
      <c r="L45" s="25"/>
      <c r="M45" s="11" t="s">
        <v>55</v>
      </c>
      <c r="N45" s="35" t="s">
        <v>78</v>
      </c>
      <c r="O45" s="27">
        <f t="shared" si="6"/>
        <v>4.8225308641975306E-8</v>
      </c>
      <c r="P45" s="42">
        <f>MAX(P44,IF(AND(ISNUMBER(L45),L45&lt;0.5),1,INT(I45/24+Start_Time)))</f>
        <v>0</v>
      </c>
      <c r="Q45" s="64">
        <f t="shared" si="2"/>
        <v>0</v>
      </c>
      <c r="R45" s="27">
        <f t="shared" si="23"/>
        <v>1.1574074074074074E-6</v>
      </c>
      <c r="S45" s="33">
        <f t="shared" si="24"/>
        <v>1.1574074074074074E-6</v>
      </c>
      <c r="T45" s="37">
        <v>1.1041666666666601</v>
      </c>
      <c r="U45" s="37">
        <v>1.2291666666666601</v>
      </c>
      <c r="V45" s="37">
        <f>IF(L45&gt;0,P45+L45,L45)</f>
        <v>0</v>
      </c>
    </row>
    <row r="46" spans="1:22" ht="17" thickBot="1" x14ac:dyDescent="0.25">
      <c r="A46" s="79" t="s">
        <v>74</v>
      </c>
      <c r="B46" s="17" t="s">
        <v>55</v>
      </c>
      <c r="C46" s="53">
        <f>SUM(D40:D45)</f>
        <v>26.2</v>
      </c>
      <c r="D46" s="54"/>
      <c r="E46" s="54"/>
      <c r="F46" s="54"/>
      <c r="G46" s="54"/>
      <c r="H46" s="54"/>
      <c r="I46" s="54"/>
      <c r="J46" s="54"/>
      <c r="K46" s="54"/>
      <c r="L46" s="55"/>
      <c r="M46" s="17" t="s">
        <v>55</v>
      </c>
      <c r="N46" s="20"/>
      <c r="O46" s="27"/>
      <c r="P46" s="42"/>
      <c r="Q46" s="64"/>
      <c r="S46" s="33"/>
    </row>
    <row r="47" spans="1:22" ht="16" thickBot="1" x14ac:dyDescent="0.25">
      <c r="F47" s="28"/>
      <c r="O47" s="27"/>
      <c r="P47" s="42"/>
      <c r="Q47" s="64"/>
      <c r="R47" s="27" t="b">
        <f>S47&gt;=U47</f>
        <v>0</v>
      </c>
      <c r="S47" s="34">
        <f>S45</f>
        <v>1.1574074074074074E-6</v>
      </c>
      <c r="U47" s="34">
        <f>U45</f>
        <v>1.2291666666666601</v>
      </c>
    </row>
    <row r="48" spans="1:22" ht="17" customHeight="1" thickBot="1" x14ac:dyDescent="0.25">
      <c r="B48" s="7" t="s">
        <v>55</v>
      </c>
      <c r="C48" s="49" t="s">
        <v>79</v>
      </c>
      <c r="D48" s="50"/>
      <c r="E48" s="50"/>
      <c r="F48" s="50"/>
      <c r="G48" s="50"/>
      <c r="H48" s="50"/>
      <c r="I48" s="50"/>
      <c r="J48" s="50"/>
      <c r="K48" s="50"/>
      <c r="L48" s="51"/>
      <c r="M48" s="8" t="s">
        <v>55</v>
      </c>
      <c r="N48" s="23"/>
      <c r="O48" s="27"/>
      <c r="P48" s="42"/>
      <c r="Q48" s="64"/>
      <c r="S48" s="33"/>
    </row>
    <row r="49" spans="1:22" ht="29.5" customHeight="1" thickBot="1" x14ac:dyDescent="0.25">
      <c r="B49" s="7" t="s">
        <v>55</v>
      </c>
      <c r="C49" s="9" t="s">
        <v>58</v>
      </c>
      <c r="D49" s="9" t="s">
        <v>59</v>
      </c>
      <c r="E49" s="9" t="s">
        <v>60</v>
      </c>
      <c r="F49" s="9" t="s">
        <v>76</v>
      </c>
      <c r="G49" s="9" t="s">
        <v>62</v>
      </c>
      <c r="H49" s="9" t="s">
        <v>63</v>
      </c>
      <c r="I49" s="10" t="s">
        <v>64</v>
      </c>
      <c r="J49" s="10" t="s">
        <v>65</v>
      </c>
      <c r="K49" s="9" t="s">
        <v>66</v>
      </c>
      <c r="L49" s="9" t="s">
        <v>67</v>
      </c>
      <c r="M49" s="7" t="s">
        <v>55</v>
      </c>
      <c r="N49" s="46" t="str">
        <f>N13</f>
        <v>Runner should arrive at exchange point before  this time *</v>
      </c>
      <c r="O49" s="27"/>
      <c r="P49" s="42"/>
      <c r="Q49" s="64"/>
      <c r="S49" s="33"/>
    </row>
    <row r="50" spans="1:22" ht="17" thickBot="1" x14ac:dyDescent="0.25">
      <c r="A50" s="71">
        <f>Runner1</f>
        <v>0</v>
      </c>
      <c r="B50" s="11" t="s">
        <v>55</v>
      </c>
      <c r="C50" s="12">
        <v>25</v>
      </c>
      <c r="D50" s="12">
        <v>3.4</v>
      </c>
      <c r="E50" s="12" t="s">
        <v>68</v>
      </c>
      <c r="F50" s="61">
        <f t="shared" ref="F50:F55" si="26">F16</f>
        <v>0</v>
      </c>
      <c r="G50" s="60">
        <f t="shared" ref="G50:G55" si="27">F50*D50</f>
        <v>0</v>
      </c>
      <c r="H50" s="60">
        <f>G50+H45</f>
        <v>0</v>
      </c>
      <c r="I50" s="13">
        <f t="shared" ref="I50:I55" si="28">H50/60</f>
        <v>0</v>
      </c>
      <c r="J50" s="16">
        <f>IF(L45&lt;&gt;0,IF(P50&gt;0,P50+L45,L45),K45)</f>
        <v>1.1574074074074074E-6</v>
      </c>
      <c r="K50" s="14">
        <f>J50+O50</f>
        <v>1.2056327160493827E-6</v>
      </c>
      <c r="L50" s="25"/>
      <c r="M50" s="11" t="s">
        <v>55</v>
      </c>
      <c r="N50" s="36">
        <v>1.25</v>
      </c>
      <c r="O50" s="27">
        <f t="shared" si="6"/>
        <v>4.8225308641975306E-8</v>
      </c>
      <c r="P50" s="42">
        <f>MAX(P45,IF(AND(ISNUMBER(L50),L50&lt;0.5),1,INT(I50/24+Start_Time)))</f>
        <v>0</v>
      </c>
      <c r="Q50" s="64">
        <f t="shared" si="2"/>
        <v>0</v>
      </c>
      <c r="R50" s="27">
        <f t="shared" ref="R50:R55" si="29">K50-Start_Time</f>
        <v>1.2056327160493827E-6</v>
      </c>
      <c r="S50" s="33">
        <f t="shared" si="24"/>
        <v>1.2056327160493827E-6</v>
      </c>
      <c r="V50" s="37">
        <f t="shared" ref="V50:V62" si="30">IF(L50&gt;0,P50+L50,L50)</f>
        <v>0</v>
      </c>
    </row>
    <row r="51" spans="1:22" ht="17" thickBot="1" x14ac:dyDescent="0.25">
      <c r="A51" s="71">
        <f>Runner2</f>
        <v>0</v>
      </c>
      <c r="B51" s="11" t="s">
        <v>55</v>
      </c>
      <c r="C51" s="12">
        <v>26</v>
      </c>
      <c r="D51" s="12">
        <v>5.5</v>
      </c>
      <c r="E51" s="12" t="s">
        <v>69</v>
      </c>
      <c r="F51" s="61">
        <f t="shared" si="26"/>
        <v>0</v>
      </c>
      <c r="G51" s="60">
        <f t="shared" si="27"/>
        <v>0</v>
      </c>
      <c r="H51" s="60">
        <f>G51+H50</f>
        <v>0</v>
      </c>
      <c r="I51" s="13">
        <f t="shared" si="28"/>
        <v>0</v>
      </c>
      <c r="J51" s="16">
        <f>IF(L50&lt;&gt;0,IF(P51&gt;0,P51+L50,L50),K50)</f>
        <v>1.2056327160493827E-6</v>
      </c>
      <c r="K51" s="14">
        <f t="shared" ref="K51:K55" si="31">J51+O51</f>
        <v>1.253858024691358E-6</v>
      </c>
      <c r="L51" s="25"/>
      <c r="M51" s="11" t="s">
        <v>55</v>
      </c>
      <c r="N51" s="36">
        <v>1.2847222222222223</v>
      </c>
      <c r="O51" s="27">
        <f t="shared" si="6"/>
        <v>4.8225308641975306E-8</v>
      </c>
      <c r="P51" s="42">
        <f>MAX(P50,IF(AND(ISNUMBER(L51),L51&lt;0.5),1,INT(I51/24+Start_Time)))</f>
        <v>0</v>
      </c>
      <c r="Q51" s="64">
        <f t="shared" si="2"/>
        <v>0</v>
      </c>
      <c r="R51" s="27">
        <f t="shared" si="29"/>
        <v>1.253858024691358E-6</v>
      </c>
      <c r="S51" s="33">
        <f t="shared" si="24"/>
        <v>1.253858024691358E-6</v>
      </c>
      <c r="V51" s="37">
        <f t="shared" si="30"/>
        <v>0</v>
      </c>
    </row>
    <row r="52" spans="1:22" ht="17" thickBot="1" x14ac:dyDescent="0.25">
      <c r="A52" s="71">
        <f>Runner3</f>
        <v>0</v>
      </c>
      <c r="B52" s="11" t="s">
        <v>55</v>
      </c>
      <c r="C52" s="12">
        <v>27</v>
      </c>
      <c r="D52" s="12">
        <v>3.9</v>
      </c>
      <c r="E52" s="12" t="s">
        <v>69</v>
      </c>
      <c r="F52" s="61">
        <f t="shared" si="26"/>
        <v>0</v>
      </c>
      <c r="G52" s="60">
        <f t="shared" si="27"/>
        <v>0</v>
      </c>
      <c r="H52" s="60">
        <f>G52+H51</f>
        <v>0</v>
      </c>
      <c r="I52" s="13">
        <f t="shared" si="28"/>
        <v>0</v>
      </c>
      <c r="J52" s="16">
        <f>IF(L51&lt;&gt;0,IF(P52&gt;0,P52+L51,L51),K51)</f>
        <v>1.253858024691358E-6</v>
      </c>
      <c r="K52" s="14">
        <f t="shared" si="31"/>
        <v>1.3020833333333333E-6</v>
      </c>
      <c r="L52" s="25"/>
      <c r="M52" s="11" t="s">
        <v>55</v>
      </c>
      <c r="N52" s="36">
        <v>1.3125</v>
      </c>
      <c r="O52" s="27">
        <f t="shared" si="6"/>
        <v>4.8225308641975306E-8</v>
      </c>
      <c r="P52" s="42">
        <f>MAX(P51,IF(AND(ISNUMBER(L52),L52&lt;0.5),1,INT(I52/24+Start_Time)))</f>
        <v>0</v>
      </c>
      <c r="Q52" s="64">
        <f t="shared" si="2"/>
        <v>0</v>
      </c>
      <c r="R52" s="27">
        <f t="shared" si="29"/>
        <v>1.3020833333333333E-6</v>
      </c>
      <c r="S52" s="33">
        <f t="shared" si="24"/>
        <v>1.3020833333333333E-6</v>
      </c>
      <c r="V52" s="37">
        <f t="shared" si="30"/>
        <v>0</v>
      </c>
    </row>
    <row r="53" spans="1:22" ht="17" thickBot="1" x14ac:dyDescent="0.25">
      <c r="A53" s="71">
        <f>Runner4</f>
        <v>0</v>
      </c>
      <c r="B53" s="11" t="s">
        <v>55</v>
      </c>
      <c r="C53" s="12">
        <v>28</v>
      </c>
      <c r="D53" s="12">
        <v>4.8</v>
      </c>
      <c r="E53" s="12" t="s">
        <v>69</v>
      </c>
      <c r="F53" s="61">
        <f t="shared" si="26"/>
        <v>0</v>
      </c>
      <c r="G53" s="60">
        <f t="shared" si="27"/>
        <v>0</v>
      </c>
      <c r="H53" s="60">
        <f>G53+H52</f>
        <v>0</v>
      </c>
      <c r="I53" s="13">
        <f t="shared" si="28"/>
        <v>0</v>
      </c>
      <c r="J53" s="16">
        <f>IF(L52&lt;&gt;0,IF(P53&gt;0,P53+L52,L52),K52)</f>
        <v>1.3020833333333333E-6</v>
      </c>
      <c r="K53" s="14">
        <f t="shared" si="31"/>
        <v>1.3503086419753086E-6</v>
      </c>
      <c r="L53" s="25"/>
      <c r="M53" s="11" t="s">
        <v>55</v>
      </c>
      <c r="N53" s="36">
        <v>1.34375</v>
      </c>
      <c r="O53" s="27">
        <f t="shared" si="6"/>
        <v>4.8225308641975306E-8</v>
      </c>
      <c r="P53" s="42">
        <f>MAX(P52,IF(AND(ISNUMBER(L53),L53&lt;0.5),1,INT(I53/24+Start_Time)))</f>
        <v>0</v>
      </c>
      <c r="Q53" s="64">
        <f t="shared" si="2"/>
        <v>0</v>
      </c>
      <c r="R53" s="27">
        <f t="shared" si="29"/>
        <v>1.3503086419753086E-6</v>
      </c>
      <c r="S53" s="33">
        <f t="shared" si="24"/>
        <v>1.3503086419753086E-6</v>
      </c>
      <c r="V53" s="37">
        <f t="shared" si="30"/>
        <v>0</v>
      </c>
    </row>
    <row r="54" spans="1:22" ht="17" thickBot="1" x14ac:dyDescent="0.25">
      <c r="A54" s="71">
        <f>Runner5</f>
        <v>0</v>
      </c>
      <c r="B54" s="11" t="s">
        <v>55</v>
      </c>
      <c r="C54" s="12">
        <v>29</v>
      </c>
      <c r="D54" s="12">
        <v>3.4</v>
      </c>
      <c r="E54" s="12" t="s">
        <v>72</v>
      </c>
      <c r="F54" s="61">
        <f t="shared" si="26"/>
        <v>0</v>
      </c>
      <c r="G54" s="60">
        <f t="shared" si="27"/>
        <v>0</v>
      </c>
      <c r="H54" s="60">
        <f>G54+H53</f>
        <v>0</v>
      </c>
      <c r="I54" s="13">
        <f t="shared" si="28"/>
        <v>0</v>
      </c>
      <c r="J54" s="16">
        <f>IF(L53&lt;&gt;0,IF(P54&gt;0,P54+L53,L53),K53)</f>
        <v>1.3503086419753086E-6</v>
      </c>
      <c r="K54" s="14">
        <f t="shared" si="31"/>
        <v>1.3985339506172839E-6</v>
      </c>
      <c r="L54" s="25"/>
      <c r="M54" s="11" t="s">
        <v>55</v>
      </c>
      <c r="N54" s="36">
        <v>1.3645833333333299</v>
      </c>
      <c r="O54" s="27">
        <f t="shared" si="6"/>
        <v>4.8225308641975306E-8</v>
      </c>
      <c r="P54" s="42">
        <f>MAX(P53,IF(AND(ISNUMBER(L54),L54&lt;0.5),1,INT(I54/24+Start_Time)))</f>
        <v>0</v>
      </c>
      <c r="Q54" s="64">
        <f t="shared" si="2"/>
        <v>0</v>
      </c>
      <c r="R54" s="27">
        <f t="shared" si="29"/>
        <v>1.3985339506172839E-6</v>
      </c>
      <c r="S54" s="33">
        <f t="shared" si="24"/>
        <v>1.3985339506172839E-6</v>
      </c>
      <c r="V54" s="37">
        <f t="shared" si="30"/>
        <v>0</v>
      </c>
    </row>
    <row r="55" spans="1:22" ht="33" thickBot="1" x14ac:dyDescent="0.25">
      <c r="A55" s="71">
        <f>Runner6</f>
        <v>0</v>
      </c>
      <c r="B55" s="11" t="s">
        <v>55</v>
      </c>
      <c r="C55" s="12">
        <v>30</v>
      </c>
      <c r="D55" s="12">
        <v>3.4</v>
      </c>
      <c r="E55" s="12" t="s">
        <v>70</v>
      </c>
      <c r="F55" s="62">
        <f t="shared" si="26"/>
        <v>0</v>
      </c>
      <c r="G55" s="60">
        <f t="shared" si="27"/>
        <v>0</v>
      </c>
      <c r="H55" s="60">
        <f>G55+H54</f>
        <v>0</v>
      </c>
      <c r="I55" s="13">
        <f t="shared" si="28"/>
        <v>0</v>
      </c>
      <c r="J55" s="16">
        <f>IF(L54&lt;&gt;0,IF(P55&gt;0,P55+L54,L54),K54)</f>
        <v>1.3985339506172839E-6</v>
      </c>
      <c r="K55" s="14">
        <f t="shared" si="31"/>
        <v>1.4467592592592592E-6</v>
      </c>
      <c r="L55" s="25"/>
      <c r="M55" s="11" t="s">
        <v>55</v>
      </c>
      <c r="N55" s="35" t="s">
        <v>80</v>
      </c>
      <c r="O55" s="27">
        <f t="shared" si="6"/>
        <v>4.8225308641975306E-8</v>
      </c>
      <c r="P55" s="42">
        <f>MAX(P54,IF(AND(ISNUMBER(L55),L55&lt;0.5),1,INT(I55/24+Start_Time)))</f>
        <v>0</v>
      </c>
      <c r="Q55" s="64">
        <f t="shared" si="2"/>
        <v>0</v>
      </c>
      <c r="R55" s="27">
        <f t="shared" si="29"/>
        <v>1.4467592592592592E-6</v>
      </c>
      <c r="S55" s="33">
        <f t="shared" si="24"/>
        <v>1.4467592592592592E-6</v>
      </c>
      <c r="U55" s="37">
        <v>1.4583333333333333</v>
      </c>
      <c r="V55" s="37">
        <f t="shared" si="30"/>
        <v>0</v>
      </c>
    </row>
    <row r="56" spans="1:22" ht="17" thickBot="1" x14ac:dyDescent="0.25">
      <c r="A56" s="79" t="s">
        <v>71</v>
      </c>
      <c r="B56" s="17" t="s">
        <v>55</v>
      </c>
      <c r="C56" s="53">
        <f>SUM(D50:D55)</f>
        <v>24.4</v>
      </c>
      <c r="D56" s="54"/>
      <c r="E56" s="54"/>
      <c r="F56" s="54"/>
      <c r="G56" s="54"/>
      <c r="H56" s="54"/>
      <c r="I56" s="54"/>
      <c r="J56" s="54"/>
      <c r="K56" s="54"/>
      <c r="L56" s="55"/>
      <c r="M56" s="17" t="s">
        <v>55</v>
      </c>
      <c r="N56" s="48" t="s">
        <v>81</v>
      </c>
      <c r="O56" s="27"/>
      <c r="P56" s="42"/>
      <c r="Q56" s="64"/>
      <c r="S56" s="33"/>
      <c r="V56" s="37">
        <f t="shared" si="30"/>
        <v>0</v>
      </c>
    </row>
    <row r="57" spans="1:22" ht="17" thickBot="1" x14ac:dyDescent="0.25">
      <c r="A57" s="71">
        <f>Runner7</f>
        <v>0</v>
      </c>
      <c r="B57" s="11" t="s">
        <v>55</v>
      </c>
      <c r="C57" s="12">
        <v>31</v>
      </c>
      <c r="D57" s="12">
        <v>2.6</v>
      </c>
      <c r="E57" s="12" t="s">
        <v>70</v>
      </c>
      <c r="F57" s="61">
        <f t="shared" ref="F57:F62" si="32">F23</f>
        <v>0</v>
      </c>
      <c r="G57" s="60">
        <f t="shared" ref="G57:G62" si="33">F57*D57</f>
        <v>0</v>
      </c>
      <c r="H57" s="60">
        <f>G57+H55</f>
        <v>0</v>
      </c>
      <c r="I57" s="13">
        <f t="shared" ref="I57:I62" si="34">H57/60</f>
        <v>0</v>
      </c>
      <c r="J57" s="38">
        <f>IF(L55&lt;&gt;0,IF(P57&gt;0,P57+L55,L55),K55)</f>
        <v>1.4467592592592592E-6</v>
      </c>
      <c r="K57" s="14">
        <f>J57+O57</f>
        <v>1.4949845679012345E-6</v>
      </c>
      <c r="L57" s="25"/>
      <c r="M57" s="11" t="s">
        <v>55</v>
      </c>
      <c r="N57" s="36">
        <v>1.4375</v>
      </c>
      <c r="O57" s="27">
        <f t="shared" si="6"/>
        <v>4.8225308641975306E-8</v>
      </c>
      <c r="P57" s="42">
        <f>MAX(P55,IF(AND(ISNUMBER(L57),L57&lt;0.5),1,INT(I57/24+Start_Time)))</f>
        <v>0</v>
      </c>
      <c r="Q57" s="64">
        <f t="shared" si="2"/>
        <v>0</v>
      </c>
      <c r="R57" s="27">
        <f t="shared" ref="R57:R62" si="35">K57-Start_Time</f>
        <v>1.4949845679012345E-6</v>
      </c>
      <c r="S57" s="33">
        <f t="shared" si="24"/>
        <v>1.4949845679012345E-6</v>
      </c>
      <c r="V57" s="37">
        <f t="shared" si="30"/>
        <v>0</v>
      </c>
    </row>
    <row r="58" spans="1:22" ht="17" thickBot="1" x14ac:dyDescent="0.25">
      <c r="A58" s="71">
        <f>Runner8</f>
        <v>0</v>
      </c>
      <c r="B58" s="11" t="s">
        <v>55</v>
      </c>
      <c r="C58" s="12">
        <v>32</v>
      </c>
      <c r="D58" s="12">
        <v>3.3</v>
      </c>
      <c r="E58" s="12" t="s">
        <v>70</v>
      </c>
      <c r="F58" s="61">
        <f t="shared" si="32"/>
        <v>0</v>
      </c>
      <c r="G58" s="60">
        <f t="shared" si="33"/>
        <v>0</v>
      </c>
      <c r="H58" s="60">
        <f>G58+H57</f>
        <v>0</v>
      </c>
      <c r="I58" s="13">
        <f t="shared" si="34"/>
        <v>0</v>
      </c>
      <c r="J58" s="16">
        <f>IF(L57&lt;&gt;0,IF(P58&gt;0,P58+L57,L57),K57)</f>
        <v>1.4949845679012345E-6</v>
      </c>
      <c r="K58" s="14">
        <f t="shared" ref="K58:K62" si="36">J58+O58</f>
        <v>1.5432098765432098E-6</v>
      </c>
      <c r="L58" s="25"/>
      <c r="M58" s="11" t="s">
        <v>55</v>
      </c>
      <c r="N58" s="36">
        <v>1.4791666666666601</v>
      </c>
      <c r="O58" s="27">
        <f t="shared" si="6"/>
        <v>4.8225308641975306E-8</v>
      </c>
      <c r="P58" s="42">
        <f>MAX(P57,IF(AND(ISNUMBER(L58),L58&lt;0.5),1,INT(I58/24+Start_Time)))</f>
        <v>0</v>
      </c>
      <c r="Q58" s="64">
        <f t="shared" si="2"/>
        <v>0</v>
      </c>
      <c r="R58" s="27">
        <f t="shared" si="35"/>
        <v>1.5432098765432098E-6</v>
      </c>
      <c r="S58" s="33">
        <f t="shared" si="24"/>
        <v>1.5432098765432098E-6</v>
      </c>
      <c r="V58" s="37">
        <f t="shared" si="30"/>
        <v>0</v>
      </c>
    </row>
    <row r="59" spans="1:22" ht="17" thickBot="1" x14ac:dyDescent="0.25">
      <c r="A59" s="71">
        <f>Runner9</f>
        <v>0</v>
      </c>
      <c r="B59" s="11" t="s">
        <v>55</v>
      </c>
      <c r="C59" s="12">
        <v>33</v>
      </c>
      <c r="D59" s="12">
        <v>6.6</v>
      </c>
      <c r="E59" s="12" t="s">
        <v>72</v>
      </c>
      <c r="F59" s="61">
        <f t="shared" si="32"/>
        <v>0</v>
      </c>
      <c r="G59" s="60">
        <f t="shared" si="33"/>
        <v>0</v>
      </c>
      <c r="H59" s="60">
        <f>G59+H58</f>
        <v>0</v>
      </c>
      <c r="I59" s="13">
        <f t="shared" si="34"/>
        <v>0</v>
      </c>
      <c r="J59" s="16">
        <f>IF(L58&lt;&gt;0,IF(P59&gt;0,P59+L58,L58),K58)</f>
        <v>1.5432098765432098E-6</v>
      </c>
      <c r="K59" s="14">
        <f t="shared" si="36"/>
        <v>1.5914351851851851E-6</v>
      </c>
      <c r="L59" s="25"/>
      <c r="M59" s="11" t="s">
        <v>55</v>
      </c>
      <c r="N59" s="36">
        <v>1.53125</v>
      </c>
      <c r="O59" s="27">
        <f t="shared" si="6"/>
        <v>4.8225308641975306E-8</v>
      </c>
      <c r="P59" s="42">
        <f>MAX(P58,IF(AND(ISNUMBER(L59),L59&lt;0.5),1,INT(I59/24+Start_Time)))</f>
        <v>0</v>
      </c>
      <c r="Q59" s="64">
        <f t="shared" si="2"/>
        <v>0</v>
      </c>
      <c r="R59" s="27">
        <f t="shared" si="35"/>
        <v>1.5914351851851851E-6</v>
      </c>
      <c r="S59" s="33">
        <f t="shared" si="24"/>
        <v>1.5914351851851851E-6</v>
      </c>
      <c r="V59" s="37">
        <f t="shared" si="30"/>
        <v>0</v>
      </c>
    </row>
    <row r="60" spans="1:22" ht="17" thickBot="1" x14ac:dyDescent="0.25">
      <c r="A60" s="71">
        <f>Runner10</f>
        <v>0</v>
      </c>
      <c r="B60" s="11" t="s">
        <v>55</v>
      </c>
      <c r="C60" s="12">
        <v>34</v>
      </c>
      <c r="D60" s="12">
        <v>5.0999999999999996</v>
      </c>
      <c r="E60" s="12" t="s">
        <v>69</v>
      </c>
      <c r="F60" s="61">
        <f t="shared" si="32"/>
        <v>0</v>
      </c>
      <c r="G60" s="60">
        <f t="shared" si="33"/>
        <v>0</v>
      </c>
      <c r="H60" s="60">
        <f>G60+H59</f>
        <v>0</v>
      </c>
      <c r="I60" s="13">
        <f t="shared" si="34"/>
        <v>0</v>
      </c>
      <c r="J60" s="16">
        <f>IF(L59&lt;&gt;0,IF(P60&gt;0,P60+L59,L59),K59)</f>
        <v>1.5914351851851851E-6</v>
      </c>
      <c r="K60" s="14">
        <f t="shared" si="36"/>
        <v>1.6396604938271604E-6</v>
      </c>
      <c r="L60" s="25"/>
      <c r="M60" s="11" t="s">
        <v>55</v>
      </c>
      <c r="N60" s="36">
        <v>1.5625</v>
      </c>
      <c r="O60" s="27">
        <f t="shared" si="6"/>
        <v>4.8225308641975306E-8</v>
      </c>
      <c r="P60" s="42">
        <f>MAX(P59,IF(AND(ISNUMBER(L60),L60&lt;0.5),1,INT(I60/24+Start_Time)))</f>
        <v>0</v>
      </c>
      <c r="Q60" s="64">
        <f t="shared" si="2"/>
        <v>0</v>
      </c>
      <c r="R60" s="27">
        <f t="shared" si="35"/>
        <v>1.6396604938271604E-6</v>
      </c>
      <c r="S60" s="33">
        <f t="shared" si="24"/>
        <v>1.6396604938271604E-6</v>
      </c>
      <c r="V60" s="37">
        <f t="shared" si="30"/>
        <v>0</v>
      </c>
    </row>
    <row r="61" spans="1:22" ht="17" thickBot="1" x14ac:dyDescent="0.25">
      <c r="A61" s="71">
        <f>Runner11</f>
        <v>0</v>
      </c>
      <c r="B61" s="11" t="s">
        <v>55</v>
      </c>
      <c r="C61" s="12">
        <v>35</v>
      </c>
      <c r="D61" s="12">
        <v>6.9</v>
      </c>
      <c r="E61" s="12" t="s">
        <v>69</v>
      </c>
      <c r="F61" s="61">
        <f t="shared" si="32"/>
        <v>0</v>
      </c>
      <c r="G61" s="60">
        <f t="shared" si="33"/>
        <v>0</v>
      </c>
      <c r="H61" s="60">
        <f>G61+H60</f>
        <v>0</v>
      </c>
      <c r="I61" s="13">
        <f t="shared" si="34"/>
        <v>0</v>
      </c>
      <c r="J61" s="16">
        <f>IF(L60&lt;&gt;0,IF(P61&gt;0,P61+L60,L60),K60)</f>
        <v>1.6396604938271604E-6</v>
      </c>
      <c r="K61" s="14">
        <f t="shared" si="36"/>
        <v>1.6878858024691357E-6</v>
      </c>
      <c r="L61" s="25"/>
      <c r="M61" s="11" t="s">
        <v>55</v>
      </c>
      <c r="N61" s="36">
        <v>1.59375</v>
      </c>
      <c r="O61" s="27">
        <f t="shared" si="6"/>
        <v>4.8225308641975306E-8</v>
      </c>
      <c r="P61" s="42">
        <f>MAX(P60,IF(AND(ISNUMBER(L61),L61&lt;0.5),1,INT(I61/24+Start_Time)))</f>
        <v>0</v>
      </c>
      <c r="Q61" s="64">
        <f t="shared" si="2"/>
        <v>0</v>
      </c>
      <c r="R61" s="27">
        <f t="shared" si="35"/>
        <v>1.6878858024691357E-6</v>
      </c>
      <c r="S61" s="33">
        <f t="shared" si="24"/>
        <v>1.6878858024691357E-6</v>
      </c>
      <c r="V61" s="37">
        <f t="shared" si="30"/>
        <v>0</v>
      </c>
    </row>
    <row r="62" spans="1:22" ht="16" x14ac:dyDescent="0.2">
      <c r="A62" s="71">
        <f>Runner12</f>
        <v>0</v>
      </c>
      <c r="B62" s="11" t="s">
        <v>55</v>
      </c>
      <c r="C62" s="12">
        <v>36</v>
      </c>
      <c r="D62" s="12">
        <v>4.2</v>
      </c>
      <c r="E62" s="12" t="s">
        <v>69</v>
      </c>
      <c r="F62" s="61">
        <f t="shared" si="32"/>
        <v>0</v>
      </c>
      <c r="G62" s="60">
        <f t="shared" si="33"/>
        <v>0</v>
      </c>
      <c r="H62" s="60">
        <f>G62+H61</f>
        <v>0</v>
      </c>
      <c r="I62" s="13">
        <f t="shared" si="34"/>
        <v>0</v>
      </c>
      <c r="J62" s="16">
        <f>IF(L61&lt;&gt;0,IF(P62&gt;0,P62+L61,L61),K61)</f>
        <v>1.6878858024691357E-6</v>
      </c>
      <c r="K62" s="14">
        <f t="shared" si="36"/>
        <v>1.736111111111111E-6</v>
      </c>
      <c r="L62" s="25"/>
      <c r="M62" s="11" t="s">
        <v>55</v>
      </c>
      <c r="N62" s="36">
        <v>1.65625</v>
      </c>
      <c r="O62" s="27">
        <f t="shared" si="6"/>
        <v>4.8225308641975306E-8</v>
      </c>
      <c r="P62" s="42">
        <f>MAX(P61,IF(AND(ISNUMBER(L62),L62&lt;0.5),1,INT(I62/24+Start_Time)))</f>
        <v>0</v>
      </c>
      <c r="Q62" s="64">
        <f t="shared" si="2"/>
        <v>0</v>
      </c>
      <c r="R62" s="27">
        <f t="shared" si="35"/>
        <v>1.736111111111111E-6</v>
      </c>
      <c r="S62" s="33">
        <f t="shared" si="24"/>
        <v>1.736111111111111E-6</v>
      </c>
      <c r="V62" s="37">
        <f t="shared" si="30"/>
        <v>0</v>
      </c>
    </row>
    <row r="63" spans="1:22" ht="17" thickBot="1" x14ac:dyDescent="0.25">
      <c r="A63" s="79" t="s">
        <v>74</v>
      </c>
      <c r="B63" s="17" t="s">
        <v>55</v>
      </c>
      <c r="C63" s="53">
        <f>SUM(D57:D62)</f>
        <v>28.7</v>
      </c>
      <c r="D63" s="54"/>
      <c r="E63" s="54"/>
      <c r="F63" s="54"/>
      <c r="G63" s="54"/>
      <c r="H63" s="54"/>
      <c r="I63" s="54"/>
      <c r="J63" s="54"/>
      <c r="K63" s="54"/>
      <c r="L63" s="55"/>
      <c r="M63" s="17" t="s">
        <v>55</v>
      </c>
      <c r="N63" s="22" t="s">
        <v>82</v>
      </c>
      <c r="Q63" s="33"/>
    </row>
    <row r="65" spans="1:14" x14ac:dyDescent="0.2">
      <c r="A65" s="57" t="s">
        <v>83</v>
      </c>
      <c r="B65" s="76"/>
      <c r="C65" s="57"/>
      <c r="D65" s="57"/>
      <c r="E65" s="57"/>
      <c r="F65" s="57"/>
      <c r="G65" s="57"/>
      <c r="H65" s="57"/>
      <c r="I65" s="57"/>
      <c r="J65" s="57"/>
      <c r="K65" s="57"/>
      <c r="L65" s="57"/>
      <c r="M65" s="57"/>
      <c r="N65" s="57"/>
    </row>
    <row r="67" spans="1:14" x14ac:dyDescent="0.2">
      <c r="A67" s="4"/>
    </row>
  </sheetData>
  <sheetProtection algorithmName="SHA-512" hashValue="GCALdRzguQwVohItT34K9+H0WUE5F4ALlDsq7Y2fsVRWTH7XGhOPvm9r3xQcFRXrOJ23riqNe0NL5fSH4LkmoQ==" saltValue="N7mMCJpk3nfXYnov+n91JQ==" spinCount="100000" sheet="1" objects="1" scenarios="1"/>
  <mergeCells count="1">
    <mergeCell ref="A12:D12"/>
  </mergeCells>
  <phoneticPr fontId="8" type="noConversion"/>
  <conditionalFormatting sqref="L13">
    <cfRule type="cellIs" priority="52" stopIfTrue="1" operator="equal">
      <formula>""</formula>
    </cfRule>
    <cfRule type="cellIs" dxfId="16" priority="53" operator="lessThan">
      <formula>$I$13</formula>
    </cfRule>
    <cfRule type="cellIs" dxfId="15" priority="54" operator="greaterThan">
      <formula>$I$13</formula>
    </cfRule>
  </conditionalFormatting>
  <conditionalFormatting sqref="L16:L21 L23:L28 L33:L38 L40:L45 L50:L55 L57:L62">
    <cfRule type="expression" priority="49" stopIfTrue="1">
      <formula>V16=0</formula>
    </cfRule>
    <cfRule type="expression" dxfId="14" priority="50">
      <formula>$V16&lt;$K16</formula>
    </cfRule>
    <cfRule type="expression" dxfId="13" priority="51">
      <formula>$V16&gt;$K16</formula>
    </cfRule>
  </conditionalFormatting>
  <conditionalFormatting sqref="N28">
    <cfRule type="cellIs" dxfId="12" priority="4" stopIfTrue="1" operator="lessThan">
      <formula>$S28</formula>
    </cfRule>
  </conditionalFormatting>
  <conditionalFormatting sqref="N33:N37">
    <cfRule type="cellIs" dxfId="11" priority="6" stopIfTrue="1" operator="lessThan">
      <formula>$S33</formula>
    </cfRule>
  </conditionalFormatting>
  <conditionalFormatting sqref="N38">
    <cfRule type="cellIs" dxfId="10" priority="7" operator="lessThanOrEqual">
      <formula>$T$38</formula>
    </cfRule>
    <cfRule type="expression" dxfId="9" priority="55" stopIfTrue="1">
      <formula>$S38&gt;=$U38</formula>
    </cfRule>
  </conditionalFormatting>
  <conditionalFormatting sqref="N40:N44">
    <cfRule type="cellIs" dxfId="8" priority="5" stopIfTrue="1" operator="lessThan">
      <formula>$S40</formula>
    </cfRule>
  </conditionalFormatting>
  <conditionalFormatting sqref="N45">
    <cfRule type="expression" dxfId="7" priority="8" stopIfTrue="1">
      <formula>$S45&gt;=$U45</formula>
    </cfRule>
    <cfRule type="expression" dxfId="6" priority="56" stopIfTrue="1">
      <formula>$S45&lt;=$T45</formula>
    </cfRule>
  </conditionalFormatting>
  <conditionalFormatting sqref="N50:N54">
    <cfRule type="cellIs" dxfId="5" priority="3" stopIfTrue="1" operator="lessThan">
      <formula>$S50</formula>
    </cfRule>
  </conditionalFormatting>
  <conditionalFormatting sqref="N55">
    <cfRule type="expression" dxfId="4" priority="9" stopIfTrue="1">
      <formula>$S55&gt;=$U55</formula>
    </cfRule>
    <cfRule type="expression" dxfId="3" priority="10" stopIfTrue="1">
      <formula>$S55&lt;=$T55</formula>
    </cfRule>
  </conditionalFormatting>
  <conditionalFormatting sqref="N57:N62">
    <cfRule type="cellIs" dxfId="2" priority="2" stopIfTrue="1" operator="lessThan">
      <formula>$S57</formula>
    </cfRule>
  </conditionalFormatting>
  <conditionalFormatting sqref="S28:S62">
    <cfRule type="cellIs" dxfId="1" priority="13" operator="lessThan">
      <formula>$S28-1</formula>
    </cfRule>
  </conditionalFormatting>
  <conditionalFormatting sqref="U47">
    <cfRule type="cellIs" dxfId="0" priority="1" operator="lessThan">
      <formula>$S47-1</formula>
    </cfRule>
  </conditionalFormatting>
  <pageMargins left="0.34" right="0.32" top="0.47" bottom="0.4" header="0.3" footer="0.3"/>
  <pageSetup scale="84" fitToHeight="0" orientation="landscape" r:id="rId1"/>
  <rowBreaks count="1" manualBreakCount="1">
    <brk id="38" max="16383" man="1"/>
  </row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C56CE0FB925AD4BA431BC7B0C0F46DA" ma:contentTypeVersion="14" ma:contentTypeDescription="Create a new document." ma:contentTypeScope="" ma:versionID="38d7c6729d73e35991dd7bca7f926545">
  <xsd:schema xmlns:xsd="http://www.w3.org/2001/XMLSchema" xmlns:xs="http://www.w3.org/2001/XMLSchema" xmlns:p="http://schemas.microsoft.com/office/2006/metadata/properties" xmlns:ns2="4930a031-ff45-4756-b6a4-667595284520" xmlns:ns3="f8c7bbb2-5480-4595-980a-0b4777eb6ad0" targetNamespace="http://schemas.microsoft.com/office/2006/metadata/properties" ma:root="true" ma:fieldsID="1b3642c2092b67dbaa973a79240e29c1" ns2:_="" ns3:_="">
    <xsd:import namespace="4930a031-ff45-4756-b6a4-667595284520"/>
    <xsd:import namespace="f8c7bbb2-5480-4595-980a-0b4777eb6ad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Locatio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NaomiGentl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930a031-ff45-4756-b6a4-66759528452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13" nillable="true" ma:displayName="Location" ma:indexed="true" ma:internalName="MediaServiceLocation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6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8" nillable="true" ma:taxonomy="true" ma:internalName="lcf76f155ced4ddcb4097134ff3c332f" ma:taxonomyFieldName="MediaServiceImageTags" ma:displayName="Image Tags" ma:readOnly="false" ma:fieldId="{5cf76f15-5ced-4ddc-b409-7134ff3c332f}" ma:taxonomyMulti="true" ma:sspId="9f078ff2-53f1-4a7a-9f40-603acf0fef6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NaomiGentle" ma:index="21" nillable="true" ma:displayName="Notes" ma:description="Instagram: 1351 views, 36 likes" ma:format="Dropdown" ma:internalName="NaomiGentle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8c7bbb2-5480-4595-980a-0b4777eb6ad0" elementFormDefault="qualified">
    <xsd:import namespace="http://schemas.microsoft.com/office/2006/documentManagement/types"/>
    <xsd:import namespace="http://schemas.microsoft.com/office/infopath/2007/PartnerControls"/>
    <xsd:element name="TaxCatchAll" ma:index="19" nillable="true" ma:displayName="Taxonomy Catch All Column" ma:hidden="true" ma:list="{39da7fb9-a2be-4ecf-ba61-4bf922ae13a1}" ma:internalName="TaxCatchAll" ma:showField="CatchAllData" ma:web="f8c7bbb2-5480-4595-980a-0b4777eb6ad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4930a031-ff45-4756-b6a4-667595284520">
      <Terms xmlns="http://schemas.microsoft.com/office/infopath/2007/PartnerControls"/>
    </lcf76f155ced4ddcb4097134ff3c332f>
    <TaxCatchAll xmlns="f8c7bbb2-5480-4595-980a-0b4777eb6ad0" xsi:nil="true"/>
    <NaomiGentle xmlns="4930a031-ff45-4756-b6a4-667595284520" xsi:nil="true"/>
  </documentManagement>
</p:properties>
</file>

<file path=customXml/itemProps1.xml><?xml version="1.0" encoding="utf-8"?>
<ds:datastoreItem xmlns:ds="http://schemas.openxmlformats.org/officeDocument/2006/customXml" ds:itemID="{DA177982-D57D-43B5-8903-9D62338F684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930a031-ff45-4756-b6a4-667595284520"/>
    <ds:schemaRef ds:uri="f8c7bbb2-5480-4595-980a-0b4777eb6ad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B75B2244-6386-4DCB-BED8-BABB593CBA4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0222A7B-1E15-4C4E-A87B-D4F716E82D69}">
  <ds:schemaRefs>
    <ds:schemaRef ds:uri="http://schemas.microsoft.com/office/2006/metadata/properties"/>
    <ds:schemaRef ds:uri="http://schemas.microsoft.com/office/infopath/2007/PartnerControls"/>
    <ds:schemaRef ds:uri="4930a031-ff45-4756-b6a4-667595284520"/>
    <ds:schemaRef ds:uri="f8c7bbb2-5480-4595-980a-0b4777eb6ad0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19</vt:i4>
      </vt:variant>
    </vt:vector>
  </HeadingPairs>
  <TitlesOfParts>
    <vt:vector size="21" baseType="lpstr">
      <vt:lpstr>Set-up</vt:lpstr>
      <vt:lpstr>Pace Tracker</vt:lpstr>
      <vt:lpstr>Est_Finish_Time</vt:lpstr>
      <vt:lpstr>'Pace Tracker'!Print_Area</vt:lpstr>
      <vt:lpstr>'Set-up'!Print_Area</vt:lpstr>
      <vt:lpstr>Proj_Finish_Time</vt:lpstr>
      <vt:lpstr>Runner1</vt:lpstr>
      <vt:lpstr>Runner10</vt:lpstr>
      <vt:lpstr>Runner11</vt:lpstr>
      <vt:lpstr>Runner12</vt:lpstr>
      <vt:lpstr>Runner2</vt:lpstr>
      <vt:lpstr>Runner3</vt:lpstr>
      <vt:lpstr>Runner4</vt:lpstr>
      <vt:lpstr>Runner5</vt:lpstr>
      <vt:lpstr>Runner6</vt:lpstr>
      <vt:lpstr>Runner7</vt:lpstr>
      <vt:lpstr>Runner8</vt:lpstr>
      <vt:lpstr>Runner9</vt:lpstr>
      <vt:lpstr>Start_Time</vt:lpstr>
      <vt:lpstr>Team_Name</vt:lpstr>
      <vt:lpstr>Total_Time</vt:lpstr>
    </vt:vector>
  </TitlesOfParts>
  <Manager/>
  <Company>Microsoft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jsnyder</dc:creator>
  <cp:keywords/>
  <dc:description/>
  <cp:lastModifiedBy>Leland Peterman</cp:lastModifiedBy>
  <cp:revision/>
  <dcterms:created xsi:type="dcterms:W3CDTF">2012-03-23T19:12:32Z</dcterms:created>
  <dcterms:modified xsi:type="dcterms:W3CDTF">2026-05-19T19:37:28Z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0x0101008C56CE0FB925AD4BA431BC7B0C0F46DA</vt:lpwstr>
  </property>
  <property fmtid="{D5CDD505-2E9C-101B-9397-08002B2CF9AE}" pid="3" name="MediaServiceImageTags">
    <vt:lpwstr/>
  </property>
</Properties>
</file>